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9" activeTab="12"/>
  </bookViews>
  <sheets>
    <sheet name="Top Sheet" sheetId="9" r:id="rId1"/>
    <sheet name="Dec Council Meeting" sheetId="34" r:id="rId2"/>
    <sheet name="Summary New Year" sheetId="20" r:id="rId3"/>
    <sheet name="Annual Report" sheetId="35" r:id="rId4"/>
    <sheet name="New Year-Full Year" sheetId="1" r:id="rId5"/>
    <sheet name="Analysis of Rates" sheetId="36" r:id="rId6"/>
    <sheet name="Options" sheetId="33" r:id="rId7"/>
    <sheet name="Benevolence" sheetId="31" r:id="rId8"/>
    <sheet name="Pastor" sheetId="21" r:id="rId9"/>
    <sheet name="Comparison" sheetId="32"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P170" i="1"/>
  <c r="F169"/>
  <c r="F165"/>
  <c r="F164"/>
  <c r="F161"/>
  <c r="P155"/>
  <c r="P149"/>
  <c r="F6" i="36"/>
  <c r="E27"/>
  <c r="F9"/>
  <c r="E30" l="1"/>
  <c r="F30" s="1"/>
  <c r="F36"/>
  <c r="F37"/>
  <c r="F38"/>
  <c r="H36"/>
  <c r="H18"/>
  <c r="H38"/>
  <c r="H37"/>
  <c r="G37"/>
  <c r="I35"/>
  <c r="I17"/>
  <c r="G36"/>
  <c r="G38"/>
  <c r="H30"/>
  <c r="G30"/>
  <c r="H27"/>
  <c r="G27"/>
  <c r="F27"/>
  <c r="F28" s="1"/>
  <c r="F29" s="1"/>
  <c r="H24"/>
  <c r="G24"/>
  <c r="F24"/>
  <c r="H21"/>
  <c r="G21"/>
  <c r="F21"/>
  <c r="G18"/>
  <c r="F18"/>
  <c r="H12"/>
  <c r="F13" s="1"/>
  <c r="F14" s="1"/>
  <c r="G12"/>
  <c r="H6"/>
  <c r="F7" s="1"/>
  <c r="F8" s="1"/>
  <c r="G6"/>
  <c r="C14" i="31"/>
  <c r="C13"/>
  <c r="C12"/>
  <c r="C11"/>
  <c r="C10"/>
  <c r="C9"/>
  <c r="C8"/>
  <c r="C7"/>
  <c r="C6"/>
  <c r="P28" i="1"/>
  <c r="F42" i="36" l="1"/>
  <c r="F39"/>
  <c r="F40" s="1"/>
  <c r="G39"/>
  <c r="G40" s="1"/>
  <c r="G31"/>
  <c r="G32" s="1"/>
  <c r="F31"/>
  <c r="F32" s="1"/>
  <c r="F19"/>
  <c r="F20" s="1"/>
  <c r="G19"/>
  <c r="G20" s="1"/>
  <c r="F25"/>
  <c r="F26" s="1"/>
  <c r="G25"/>
  <c r="G26" s="1"/>
  <c r="G28"/>
  <c r="G29" s="1"/>
  <c r="F22"/>
  <c r="F23" s="1"/>
  <c r="G22"/>
  <c r="G23" s="1"/>
  <c r="G7"/>
  <c r="G8" s="1"/>
  <c r="G13"/>
  <c r="G14" s="1"/>
  <c r="C4" i="31"/>
  <c r="H11" i="34"/>
  <c r="G21" i="35" l="1"/>
  <c r="P108" i="1"/>
  <c r="D20" i="35"/>
  <c r="D19"/>
  <c r="D18"/>
  <c r="D17"/>
  <c r="C20"/>
  <c r="C19"/>
  <c r="C18"/>
  <c r="C17"/>
  <c r="E21"/>
  <c r="B20"/>
  <c r="B19"/>
  <c r="B18"/>
  <c r="B17"/>
  <c r="E12"/>
  <c r="E14" s="1"/>
  <c r="D11"/>
  <c r="C11"/>
  <c r="B11"/>
  <c r="C10"/>
  <c r="D9"/>
  <c r="C9"/>
  <c r="B9"/>
  <c r="D8"/>
  <c r="C8"/>
  <c r="C12" s="1"/>
  <c r="D5"/>
  <c r="C5"/>
  <c r="B5"/>
  <c r="B21" l="1"/>
  <c r="C14"/>
  <c r="E23"/>
  <c r="D21"/>
  <c r="C21"/>
  <c r="D6" i="31"/>
  <c r="E7"/>
  <c r="D7" s="1"/>
  <c r="E8"/>
  <c r="D8" s="1"/>
  <c r="E9"/>
  <c r="D9" s="1"/>
  <c r="E10"/>
  <c r="D10" s="1"/>
  <c r="E11"/>
  <c r="D11" s="1"/>
  <c r="E12"/>
  <c r="D12" s="1"/>
  <c r="E13"/>
  <c r="D13" s="1"/>
  <c r="E14"/>
  <c r="D14" s="1"/>
  <c r="E6"/>
  <c r="J13" i="34"/>
  <c r="J10"/>
  <c r="C14"/>
  <c r="E7"/>
  <c r="E13" s="1"/>
  <c r="V108" i="1"/>
  <c r="U108"/>
  <c r="U18"/>
  <c r="P196"/>
  <c r="D15" i="31" l="1"/>
  <c r="C23" i="35"/>
  <c r="E11" i="34"/>
  <c r="E14" s="1"/>
  <c r="I11" i="21"/>
  <c r="I7"/>
  <c r="I4"/>
  <c r="AH160" i="1" l="1"/>
  <c r="AI160"/>
  <c r="AJ160"/>
  <c r="AK117"/>
  <c r="J76" i="20"/>
  <c r="K76"/>
  <c r="P102" i="1"/>
  <c r="E28" i="29"/>
  <c r="E14"/>
  <c r="Q163" i="1"/>
  <c r="Q150" l="1"/>
  <c r="H9" i="36" s="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F10" i="36" l="1"/>
  <c r="F11" s="1"/>
  <c r="H42"/>
  <c r="D53" i="22"/>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AD98"/>
  <c r="AE98"/>
  <c r="AF98"/>
  <c r="AD100"/>
  <c r="AE100"/>
  <c r="AF100"/>
  <c r="AD101"/>
  <c r="AE101"/>
  <c r="AF101"/>
  <c r="AE97"/>
  <c r="AF97"/>
  <c r="AD97"/>
  <c r="AE96"/>
  <c r="AF96"/>
  <c r="AD96"/>
  <c r="G4" i="20"/>
  <c r="D19" i="29"/>
  <c r="C19"/>
  <c r="D61"/>
  <c r="D60"/>
  <c r="D59"/>
  <c r="D58"/>
  <c r="C32"/>
  <c r="D32" s="1"/>
  <c r="C13"/>
  <c r="D13"/>
  <c r="I63" i="21"/>
  <c r="F6" i="31"/>
  <c r="P7" i="1"/>
  <c r="E15" i="31"/>
  <c r="B117" i="20"/>
  <c r="B116"/>
  <c r="B115"/>
  <c r="B113"/>
  <c r="B112"/>
  <c r="B110"/>
  <c r="B103"/>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61" i="1"/>
  <c r="R28" l="1"/>
  <c r="P43"/>
  <c r="B8" i="35" s="1"/>
  <c r="P150" i="1"/>
  <c r="G9" i="36" s="1"/>
  <c r="C9" i="32"/>
  <c r="C10" s="1"/>
  <c r="E39" i="29"/>
  <c r="E44" s="1"/>
  <c r="W29" i="1"/>
  <c r="S28"/>
  <c r="G6" i="31"/>
  <c r="C15"/>
  <c r="F15"/>
  <c r="I32" i="21"/>
  <c r="C22" i="24"/>
  <c r="C21"/>
  <c r="C4" i="29"/>
  <c r="C5"/>
  <c r="C55" i="22"/>
  <c r="C57" s="1"/>
  <c r="C60" s="1"/>
  <c r="C44"/>
  <c r="C46" s="1"/>
  <c r="C49" s="1"/>
  <c r="C37"/>
  <c r="C36"/>
  <c r="C34"/>
  <c r="C22"/>
  <c r="C28" s="1"/>
  <c r="C20"/>
  <c r="C17"/>
  <c r="I15" i="21"/>
  <c r="G46"/>
  <c r="I36"/>
  <c r="G10" i="36" l="1"/>
  <c r="G11" s="1"/>
  <c r="G42"/>
  <c r="R43" i="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E54" i="29"/>
  <c r="D54"/>
  <c r="I64" i="21"/>
  <c r="I52"/>
  <c r="I30"/>
  <c r="C28" i="29" l="1"/>
  <c r="C30" s="1"/>
  <c r="C42" s="1"/>
  <c r="C43" s="1"/>
  <c r="C48" s="1"/>
  <c r="C49" s="1"/>
  <c r="E63"/>
  <c r="I42" i="21"/>
  <c r="I37"/>
  <c r="D23" i="29"/>
  <c r="D28" s="1"/>
  <c r="D12"/>
  <c r="E30" l="1"/>
  <c r="E55" s="1"/>
  <c r="P123" i="1"/>
  <c r="C55" i="29"/>
  <c r="C56" s="1"/>
  <c r="C65" s="1"/>
  <c r="S123" i="1" l="1"/>
  <c r="D7" i="24"/>
  <c r="C7"/>
  <c r="E42" i="29"/>
  <c r="E43" s="1"/>
  <c r="E45" s="1"/>
  <c r="E46" s="1"/>
  <c r="E48"/>
  <c r="P124" i="1" s="1"/>
  <c r="E56" i="29"/>
  <c r="R121" i="1"/>
  <c r="D30" i="29"/>
  <c r="R123" i="1"/>
  <c r="S124" l="1"/>
  <c r="C8" i="24"/>
  <c r="E65" i="29"/>
  <c r="P126" i="1"/>
  <c r="D55" i="29"/>
  <c r="D56" s="1"/>
  <c r="D42"/>
  <c r="D43" s="1"/>
  <c r="D48" s="1"/>
  <c r="R124" i="1" s="1"/>
  <c r="D65" i="29" l="1"/>
  <c r="P131" i="1"/>
  <c r="D49" i="29"/>
  <c r="AE131" i="1" l="1"/>
  <c r="AD131"/>
  <c r="AF131"/>
  <c r="H165"/>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G161" l="1"/>
  <c r="AF161"/>
  <c r="AE161"/>
  <c r="AD161"/>
  <c r="AH167"/>
  <c r="AJ169"/>
  <c r="H69" i="20"/>
  <c r="L69"/>
  <c r="S137" i="1"/>
  <c r="C7" i="29"/>
  <c r="AG189" i="1"/>
  <c r="C8" i="29"/>
  <c r="G69" i="20"/>
  <c r="G9"/>
  <c r="G105"/>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K78" i="20" s="1"/>
  <c r="U140" i="1"/>
  <c r="J78" i="20" s="1"/>
  <c r="Q140" i="1"/>
  <c r="F78" i="20" s="1"/>
  <c r="P140" i="1"/>
  <c r="AF140" l="1"/>
  <c r="AE140"/>
  <c r="AD140"/>
  <c r="E78" i="20"/>
  <c r="G78" s="1"/>
  <c r="K18" i="2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K23" i="21" l="1"/>
  <c r="M66"/>
  <c r="P66"/>
  <c r="O66"/>
  <c r="L67" s="1"/>
  <c r="L68" s="1"/>
  <c r="L66"/>
  <c r="I44"/>
  <c r="I66"/>
  <c r="G41"/>
  <c r="G43" s="1"/>
  <c r="W113" i="1"/>
  <c r="R218"/>
  <c r="R113"/>
  <c r="M67" i="21" l="1"/>
  <c r="M68" s="1"/>
  <c r="P67"/>
  <c r="P68" s="1"/>
  <c r="K25"/>
  <c r="P110" i="1"/>
  <c r="G66" i="21"/>
  <c r="G44"/>
  <c r="AE144" i="1"/>
  <c r="L165"/>
  <c r="X165" s="1"/>
  <c r="L164"/>
  <c r="L163"/>
  <c r="L169"/>
  <c r="H164"/>
  <c r="H163"/>
  <c r="F163" s="1"/>
  <c r="L145"/>
  <c r="F145"/>
  <c r="C5" i="24" l="1"/>
  <c r="D5"/>
  <c r="K46" i="21"/>
  <c r="K53"/>
  <c r="K56" s="1"/>
  <c r="K57" s="1"/>
  <c r="P114" i="1" s="1"/>
  <c r="K40" i="21"/>
  <c r="K41" s="1"/>
  <c r="K43" s="1"/>
  <c r="X163" i="1"/>
  <c r="C11" i="24"/>
  <c r="X145" i="1"/>
  <c r="I67" i="21"/>
  <c r="I68" s="1"/>
  <c r="X164" i="1"/>
  <c r="C14" i="24"/>
  <c r="C13"/>
  <c r="AE145" i="1"/>
  <c r="P163"/>
  <c r="C16" i="24"/>
  <c r="M103" i="1"/>
  <c r="I103"/>
  <c r="E103"/>
  <c r="X4"/>
  <c r="U2"/>
  <c r="R3"/>
  <c r="Q3"/>
  <c r="H4" i="36" s="1"/>
  <c r="P3" i="1"/>
  <c r="H16" i="36" l="1"/>
  <c r="H34"/>
  <c r="G4"/>
  <c r="F4"/>
  <c r="K44" i="21"/>
  <c r="P112" i="1"/>
  <c r="R112" s="1"/>
  <c r="K66" i="21"/>
  <c r="K67" s="1"/>
  <c r="K68" s="1"/>
  <c r="AG163" i="1"/>
  <c r="P169"/>
  <c r="G109" s="1"/>
  <c r="X169"/>
  <c r="W153"/>
  <c r="S153"/>
  <c r="G34" i="36" l="1"/>
  <c r="G16"/>
  <c r="F34"/>
  <c r="F16"/>
  <c r="S112" i="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D10" i="35" s="1"/>
  <c r="D12" s="1"/>
  <c r="D14" s="1"/>
  <c r="D23"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J75" i="20" s="1"/>
  <c r="J79" s="1"/>
  <c r="U146" i="1"/>
  <c r="U118"/>
  <c r="U93"/>
  <c r="U68"/>
  <c r="U61"/>
  <c r="U23"/>
  <c r="U15"/>
  <c r="P220"/>
  <c r="P209"/>
  <c r="P193"/>
  <c r="P146"/>
  <c r="P93"/>
  <c r="P68"/>
  <c r="J112" i="20" l="1"/>
  <c r="U174" i="1"/>
  <c r="AI118"/>
  <c r="AI222" s="1"/>
  <c r="AH118"/>
  <c r="AH222" s="1"/>
  <c r="AJ118"/>
  <c r="AJ222" s="1"/>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F5" i="34" s="1"/>
  <c r="F7" s="1"/>
  <c r="F12" s="1"/>
  <c r="F14" l="1"/>
  <c r="J12"/>
  <c r="S108" i="1"/>
  <c r="S114" l="1"/>
  <c r="S118" l="1"/>
  <c r="V118" l="1"/>
  <c r="AK118" s="1"/>
  <c r="AK222" s="1"/>
  <c r="W108"/>
  <c r="W118" l="1"/>
  <c r="S156" l="1"/>
  <c r="S155"/>
  <c r="P158"/>
  <c r="E75" i="20" s="1"/>
  <c r="G75" l="1"/>
  <c r="S158" i="1"/>
  <c r="E76" i="20" l="1"/>
  <c r="AE170" i="1"/>
  <c r="AE222" s="1"/>
  <c r="AF170"/>
  <c r="AD170"/>
  <c r="AD222" s="1"/>
  <c r="H75" i="20"/>
  <c r="W156" i="1"/>
  <c r="G76" i="20" l="1"/>
  <c r="E79"/>
  <c r="G79" s="1"/>
  <c r="R171" i="1"/>
  <c r="S171"/>
  <c r="V158"/>
  <c r="W155"/>
  <c r="L78" i="20" l="1"/>
  <c r="K75"/>
  <c r="K79" s="1"/>
  <c r="V174" i="1"/>
  <c r="W158"/>
  <c r="L75" i="20" l="1"/>
  <c r="L79"/>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B10" i="35" s="1"/>
  <c r="B12" s="1"/>
  <c r="B14" s="1"/>
  <c r="B23" s="1"/>
  <c r="S173" i="1"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E26" i="20"/>
  <c r="G26" s="1"/>
  <c r="G112" s="1"/>
  <c r="AF43" i="1"/>
  <c r="AF222" s="1"/>
  <c r="S43"/>
  <c r="AD223" l="1"/>
  <c r="G116" i="20"/>
  <c r="G117" s="1"/>
  <c r="G113"/>
  <c r="P226" i="1"/>
  <c r="P223"/>
  <c r="S222"/>
  <c r="E112" i="20"/>
  <c r="H26"/>
  <c r="S223" i="1" l="1"/>
  <c r="R226"/>
  <c r="P227"/>
  <c r="H5" i="34" s="1"/>
  <c r="H7" s="1"/>
  <c r="S226" i="1"/>
  <c r="E116" i="20"/>
  <c r="E113"/>
  <c r="H113" s="1"/>
  <c r="H112"/>
  <c r="J11" i="34" l="1"/>
  <c r="J14" s="1"/>
  <c r="H14"/>
  <c r="R227" i="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<sst xmlns="http://schemas.openxmlformats.org/spreadsheetml/2006/main" count="967" uniqueCount="603">
  <si>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</si>
  <si>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</si>
  <si>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</si>
  <si>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</si>
  <si>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</si>
  <si>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</si>
  <si>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</si>
  <si>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</si>
  <si>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</si>
  <si>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</si>
  <si>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</si>
  <si>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</si>
  <si>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</si>
  <si>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</si>
  <si>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</si>
  <si>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</si>
  <si>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</si>
  <si>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</si>
  <si>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</si>
  <si>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</si>
  <si>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</si>
  <si>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</si>
  <si>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</si>
  <si>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</si>
  <si>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</si>
  <si>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</si>
  <si>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</si>
  <si>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</si>
  <si>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</si>
  <si>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</si>
  <si>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</si>
  <si>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</si>
  <si>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</si>
  <si>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</si>
  <si>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</si>
  <si>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</si>
  <si>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</si>
  <si>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</si>
  <si>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</si>
  <si>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</si>
  <si>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</si>
  <si>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</si>
  <si>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</si>
  <si>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</si>
  <si>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</si>
  <si>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</si>
  <si>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</si>
  <si>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</si>
  <si>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</si>
  <si>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</si>
  <si>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</si>
  <si>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</si>
  <si>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</si>
  <si>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</si>
  <si>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</si>
  <si>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</si>
  <si>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</si>
  <si>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</si>
  <si>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</si>
  <si>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</si>
  <si>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</si>
  <si>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</si>
  <si>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</si>
  <si>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</si>
  <si>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</si>
  <si>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</si>
  <si>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</si>
  <si>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</si>
  <si>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</si>
  <si>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</si>
  <si>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</si>
  <si>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</si>
  <si>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</si>
  <si>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</si>
  <si>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</si>
  <si>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</si>
  <si>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</si>
  <si>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</si>
  <si>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</si>
  <si>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</si>
  <si>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</si>
  <si>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</si>
  <si>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</si>
  <si>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</si>
  <si>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</si>
  <si>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</si>
  <si>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</si>
  <si>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</si>
  <si>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</si>
  <si>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</si>
  <si>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</si>
  <si>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</si>
  <si>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</si>
  <si>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</si>
  <si>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</si>
  <si>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</si>
  <si>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</si>
  <si>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</si>
  <si>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</si>
  <si>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</si>
  <si>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</si>
  <si>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</si>
  <si>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</si>
  <si>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</si>
  <si>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</si>
  <si>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</si>
  <si>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</si>
  <si>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</si>
  <si>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</si>
  <si>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</si>
  <si>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</si>
  <si>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</si>
  <si>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</si>
  <si>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</si>
  <si>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</si>
  <si>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</si>
  <si>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</si>
  <si>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</si>
  <si>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</si>
  <si>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</si>
  <si>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</si>
  <si>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</si>
  <si>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</si>
  <si>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</si>
  <si>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</si>
  <si>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</si>
  <si>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</si>
  <si>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</si>
  <si>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</si>
  <si>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</si>
  <si>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</si>
  <si>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</si>
  <si>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</si>
  <si>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</si>
  <si>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</si>
  <si>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</si>
  <si>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</si>
  <si>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</si>
  <si>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</si>
  <si>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</si>
  <si>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</si>
  <si>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</si>
  <si>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</si>
  <si>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</si>
  <si>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</si>
  <si>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</si>
  <si>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</si>
  <si>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</si>
  <si>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</si>
  <si>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</si>
  <si>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</si>
  <si>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</si>
  <si>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</si>
  <si>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</si>
  <si>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</si>
  <si>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</si>
  <si>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</si>
  <si>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</si>
  <si>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</si>
  <si>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</si>
  <si>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</si>
  <si>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</si>
  <si>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</si>
  <si>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</si>
  <si>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</si>
  <si>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</si>
  <si>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</si>
  <si>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</si>
  <si>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</si>
  <si>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</si>
  <si>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</si>
  <si>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</si>
  <si>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</si>
  <si>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</si>
  <si>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</si>
  <si>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</si>
  <si>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</si>
  <si>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</si>
  <si>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</si>
  <si>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</si>
  <si>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</si>
  <si>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</si>
  <si>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</si>
  <si>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</si>
  <si>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</si>
  <si>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</si>
  <si>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</si>
  <si>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</si>
  <si>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</si>
  <si>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</si>
  <si>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</si>
  <si>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</si>
  <si>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</si>
  <si>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</si>
  <si>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</si>
  <si>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</si>
  <si>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</si>
  <si>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</si>
  <si>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</si>
  <si>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</si>
  <si>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</si>
  <si>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</si>
  <si>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</si>
  <si>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</si>
  <si>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</si>
  <si>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</si>
  <si>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</si>
  <si>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</si>
  <si>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</si>
  <si>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</si>
  <si>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</si>
  <si>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</si>
  <si>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</si>
  <si>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</si>
  <si>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</si>
  <si>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</si>
  <si>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</si>
  <si>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</si>
  <si>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</si>
  <si>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</si>
  <si>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</si>
  <si>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</si>
  <si>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</si>
  <si>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</si>
  <si>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</si>
  <si>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</si>
  <si>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</si>
  <si>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</si>
  <si>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</si>
  <si>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</si>
  <si>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</si>
  <si>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</si>
  <si>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</si>
  <si>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</si>
  <si>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</si>
  <si>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</si>
  <si>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</si>
  <si>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</si>
  <si>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</si>
  <si>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</si>
  <si>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</si>
  <si>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</si>
  <si>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</si>
  <si>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</si>
  <si>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</si>
  <si>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</si>
  <si>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</si>
  <si>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</si>
  <si>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</si>
  <si>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</si>
  <si>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</si>
  <si>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</si>
  <si>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</si>
  <si>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</si>
  <si>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</si>
  <si>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</si>
  <si>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</si>
  <si>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</si>
  <si>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</si>
  <si>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</si>
  <si>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</si>
  <si>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</si>
  <si>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</si>
  <si>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</si>
  <si>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</si>
  <si>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</si>
  <si>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</si>
  <si>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</si>
  <si>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</si>
  <si>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</si>
  <si>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</si>
  <si>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</si>
  <si>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</si>
  <si>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</si>
  <si>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</si>
  <si>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</si>
  <si>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</si>
  <si>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</si>
  <si>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</si>
  <si>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</si>
  <si>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</si>
  <si>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</si>
  <si>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</si>
  <si>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</si>
  <si>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</si>
  <si>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</si>
  <si>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</si>
  <si>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</si>
  <si>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</si>
  <si>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</si>
  <si>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</si>
  <si>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</si>
  <si>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</si>
  <si>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</si>
  <si>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</si>
  <si>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</si>
  <si>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</si>
  <si>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</si>
  <si>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</si>
  <si>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</si>
  <si>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</si>
  <si>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</si>
  <si>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</si>
  <si>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</si>
  <si>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</si>
  <si>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</si>
  <si>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</si>
  <si>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</si>
  <si>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</si>
  <si>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</si>
  <si>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</si>
  <si>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</si>
  <si>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</si>
  <si>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</si>
  <si>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</si>
  <si>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</si>
  <si>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</si>
  <si>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</si>
  <si>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</si>
  <si>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</si>
  <si>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</si>
  <si>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</si>
  <si>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</si>
  <si>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</si>
  <si>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</si>
  <si>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</si>
  <si>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</si>
  <si>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</si>
  <si>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</si>
  <si>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</si>
  <si>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</si>
  <si>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</si>
  <si>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</si>
  <si>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</si>
  <si>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</si>
  <si>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</si>
  <si>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</si>
  <si>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</si>
  <si>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</si>
  <si>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</si>
  <si>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</si>
  <si>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</si>
  <si>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</si>
  <si>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</si>
  <si>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</si>
  <si>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</si>
  <si>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</si>
  <si>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</si>
  <si>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</si>
  <si>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</si>
  <si>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</si>
  <si>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</si>
  <si>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</si>
  <si>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</si>
  <si>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</si>
  <si>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</si>
  <si>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</si>
  <si>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</si>
  <si>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</si>
  <si>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</si>
  <si>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</si>
  <si>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</si>
  <si>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</si>
  <si>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</si>
  <si>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</si>
  <si>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</si>
  <si>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</si>
  <si>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</si>
  <si>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</si>
  <si>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</si>
  <si>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</si>
  <si>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</si>
  <si>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</si>
  <si>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</si>
  <si>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</si>
  <si>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</si>
  <si>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</si>
  <si>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</si>
  <si>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</si>
  <si>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</si>
  <si>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</si>
  <si>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</si>
  <si>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</si>
  <si>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</si>
  <si>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</si>
  <si>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</si>
  <si>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</si>
  <si>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</si>
  <si>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</si>
  <si>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</si>
  <si>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</si>
  <si>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</si>
  <si>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</si>
  <si>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</si>
  <si>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</si>
  <si>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</si>
  <si>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</si>
  <si>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</si>
  <si>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</si>
  <si>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</si>
  <si>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</si>
  <si>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</si>
  <si>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</si>
  <si>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</si>
  <si>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</si>
  <si>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</si>
  <si>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</si>
  <si>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</si>
  <si>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</si>
  <si>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</si>
  <si>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</si>
  <si>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</si>
  <si>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</si>
  <si>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</si>
  <si>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</si>
  <si>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</si>
  <si>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</si>
  <si>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</si>
  <si>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</si>
  <si>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</si>
  <si>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</si>
  <si>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</si>
  <si>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</si>
  <si>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</si>
  <si>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</si>
  <si>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</si>
  <si>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</si>
  <si>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</si>
  <si>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</si>
  <si>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</si>
  <si>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</si>
  <si>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</si>
  <si>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</si>
  <si>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</si>
  <si>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</si>
  <si>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</si>
  <si>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</si>
  <si>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</si>
  <si>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</si>
  <si>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 xml:space="preserve">Annually </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</si>
  <si>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</si>
  <si>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</si>
  <si>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</si>
  <si>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</si>
  <si>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</si>
  <si>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</si>
  <si>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</si>
  <si>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</si>
  <si>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</si>
  <si>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</si>
  <si>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</si>
  <si>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</si>
  <si>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</si>
  <si>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</si>
  <si>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</si>
  <si>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</si>
  <si>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</si>
  <si>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</si>
  <si>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</si>
  <si>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</si>
  <si>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</si>
  <si>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</si>
  <si>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</si>
  <si>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</si>
  <si>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</si>
  <si>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</si>
  <si>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</si>
  <si>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</si>
  <si>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</si>
  <si>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</si>
  <si>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</si>
  <si>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</si>
  <si>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</si>
  <si>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</si>
  <si>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</si>
  <si>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</si>
  <si>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</si>
  <si>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</si>
  <si>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</si>
  <si>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</si>
  <si>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</si>
  <si>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</si>
  <si>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</si>
  <si>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</si>
  <si>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</si>
  <si>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</si>
  <si>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</si>
  <si>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</si>
  <si>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</si>
  <si>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</si>
  <si>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</si>
  <si>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</si>
  <si>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</si>
  <si>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</si>
  <si>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</si>
  <si>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</si>
  <si>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</si>
  <si>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</si>
  <si>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</si>
  <si>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</si>
  <si>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</si>
  <si>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</si>
  <si>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</si>
  <si>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</si>
  <si>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</si>
  <si>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</si>
  <si>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</si>
  <si>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</si>
  <si>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</si>
  <si>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</si>
  <si>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</si>
  <si>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</si>
  <si>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</si>
  <si>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</si>
  <si>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</si>
  <si>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</si>
  <si>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</si>
  <si>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</si>
  <si>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</si>
  <si>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</si>
  <si>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</si>
  <si>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</si>
  <si>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</si>
  <si>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</si>
  <si>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</si>
  <si>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</si>
  <si>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</si>
  <si>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</si>
  <si>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</si>
  <si>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Nov 2020 YTD Actual</t>
  </si>
  <si>
    <t>Nov 2020 YTD Budget</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</si>
  <si>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</si>
  <si>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</si>
  <si>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</si>
  <si>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</si>
  <si>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</si>
  <si>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</si>
  <si>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</si>
  <si>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</si>
  <si>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</si>
  <si>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</si>
  <si>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</si>
  <si>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</si>
  <si>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</si>
  <si>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</si>
  <si>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</si>
  <si>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</si>
  <si>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</si>
  <si>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</si>
  <si>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t>Pay Rates for 2021</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</si>
  <si>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</si>
  <si>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</si>
  <si>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</si>
  <si>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</si>
  <si>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</si>
  <si>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</si>
  <si>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</si>
  <si>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</si>
  <si>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</si>
  <si>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</si>
  <si>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</si>
  <si>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</si>
  <si>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</si>
  <si>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</si>
  <si>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</si>
  <si>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</si>
  <si>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</si>
  <si>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</si>
  <si>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</si>
  <si>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</si>
  <si>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</si>
  <si>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Project 2021 Balance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</si>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</sst>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4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8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xf numFmtId="0" fontId="23" fillId="0" borderId="0" xfId="0" applyFont="1" applyBorder="1" applyAlignment="1">
      <alignment horizontal="left" vertical="center" wrapText="1"/>
    </xf>
    <xf numFmtId="0" fontId="25" fillId="0" borderId="0" xfId="0" applyFont="1" applyAlignment="1">
      <alignment horizontal="center" vertical="center" wrapText="1"/>
    </xf>
    <xf numFmtId="164" fontId="2" fillId="11" borderId="102" xfId="0" applyNumberFormat="1" applyFont="1" applyFill="1" applyBorder="1"/>
    <xf numFmtId="0" fontId="22" fillId="0" borderId="0" xfId="0" applyFont="1" applyAlignment="1"/>
    <xf numFmtId="0" fontId="0" fillId="0" borderId="0" xfId="0" applyBorder="1"/>
    <xf numFmtId="167" fontId="0" fillId="0" borderId="0" xfId="0" applyNumberFormat="1"/>
    <xf numFmtId="164" fontId="0" fillId="0" borderId="104" xfId="1" applyNumberFormat="1" applyFont="1" applyBorder="1" applyAlignment="1">
      <alignment vertical="center"/>
    </xf>
    <xf numFmtId="164" fontId="39" fillId="0" borderId="104" xfId="1" applyNumberFormat="1" applyFont="1" applyBorder="1" applyAlignment="1">
      <alignment vertical="center"/>
    </xf>
    <xf numFmtId="167" fontId="0" fillId="0" borderId="105" xfId="0" applyNumberFormat="1" applyBorder="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9" fillId="0" borderId="0" xfId="3" applyNumberFormat="1" applyFont="1" applyBorder="1"/>
    <xf numFmtId="167" fontId="40"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3" fillId="0" borderId="0" xfId="0" applyNumberFormat="1" applyFont="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167" fontId="28" fillId="0" borderId="6" xfId="3" applyNumberFormat="1" applyFont="1" applyBorder="1" applyAlignment="1">
      <alignment horizontal="center" vertical="center" wrapText="1"/>
    </xf>
    <xf numFmtId="167" fontId="23" fillId="0" borderId="6" xfId="3" applyNumberFormat="1" applyFont="1" applyBorder="1" applyAlignment="1">
      <alignment horizontal="center" vertical="center" wrapText="1"/>
    </xf>
    <xf numFmtId="0" fontId="23" fillId="0" borderId="0" xfId="0" applyFont="1" applyBorder="1" applyAlignment="1">
      <alignment horizontal="center" vertical="center" wrapText="1"/>
    </xf>
    <xf numFmtId="167" fontId="23" fillId="0" borderId="0" xfId="3"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0" fontId="23" fillId="0" borderId="8" xfId="0" applyFont="1" applyBorder="1" applyAlignment="1">
      <alignment horizontal="center" vertical="center"/>
    </xf>
    <xf numFmtId="9" fontId="23" fillId="0" borderId="8" xfId="2" applyFont="1" applyBorder="1" applyAlignment="1">
      <alignment horizontal="right" vertical="center"/>
    </xf>
    <xf numFmtId="0" fontId="23" fillId="0" borderId="0" xfId="0" applyFont="1" applyBorder="1" applyAlignment="1">
      <alignment horizontal="center" vertical="center"/>
    </xf>
    <xf numFmtId="9" fontId="23" fillId="0" borderId="0" xfId="2" applyFont="1" applyBorder="1" applyAlignment="1">
      <alignment horizontal="right" vertical="center"/>
    </xf>
    <xf numFmtId="0" fontId="28" fillId="0" borderId="6"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5" fillId="11" borderId="18" xfId="0" applyFont="1" applyFill="1" applyBorder="1" applyAlignment="1">
      <alignment horizontal="left" vertical="center" wrapText="1"/>
    </xf>
    <xf numFmtId="0" fontId="25" fillId="11" borderId="19"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6" fillId="11" borderId="21" xfId="0" applyFont="1" applyFill="1" applyBorder="1" applyAlignment="1">
      <alignment vertical="center"/>
    </xf>
    <xf numFmtId="0" fontId="26" fillId="11" borderId="21" xfId="0" applyFont="1" applyFill="1" applyBorder="1" applyAlignment="1">
      <alignment horizontal="center" vertical="center"/>
    </xf>
    <xf numFmtId="0" fontId="26" fillId="11" borderId="21" xfId="0" applyFont="1" applyFill="1" applyBorder="1" applyAlignment="1">
      <alignment horizontal="left" vertical="center" wrapText="1"/>
    </xf>
    <xf numFmtId="0" fontId="25" fillId="11" borderId="22" xfId="0" applyFont="1" applyFill="1" applyBorder="1" applyAlignment="1">
      <alignment horizontal="center" vertical="center" wrapText="1"/>
    </xf>
    <xf numFmtId="0" fontId="28" fillId="0" borderId="0" xfId="0" applyFont="1" applyBorder="1" applyAlignment="1">
      <alignment horizontal="center" vertical="center"/>
    </xf>
    <xf numFmtId="5" fontId="23" fillId="0" borderId="0" xfId="0" applyNumberFormat="1" applyFont="1" applyBorder="1" applyAlignment="1">
      <alignment vertical="center"/>
    </xf>
    <xf numFmtId="0" fontId="23" fillId="0" borderId="17"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167" fontId="23" fillId="0" borderId="18" xfId="3" applyNumberFormat="1" applyFont="1" applyBorder="1" applyAlignment="1">
      <alignment horizontal="center" vertical="center" wrapText="1"/>
    </xf>
    <xf numFmtId="0" fontId="23" fillId="0" borderId="2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1" xfId="0" applyFont="1" applyBorder="1" applyAlignment="1">
      <alignment horizontal="center" vertical="center"/>
    </xf>
    <xf numFmtId="9" fontId="23" fillId="0" borderId="21" xfId="2" applyFont="1" applyBorder="1" applyAlignment="1">
      <alignment horizontal="right" vertical="center"/>
    </xf>
    <xf numFmtId="0" fontId="23" fillId="0" borderId="0" xfId="0" applyFont="1" applyBorder="1" applyAlignment="1">
      <alignment horizontal="left" vertical="top" wrapText="1"/>
    </xf>
    <xf numFmtId="7" fontId="28" fillId="0" borderId="0" xfId="1" applyNumberFormat="1" applyFont="1" applyBorder="1" applyAlignment="1">
      <alignment horizontal="center" vertical="center"/>
    </xf>
    <xf numFmtId="7" fontId="28" fillId="0" borderId="8" xfId="1" applyNumberFormat="1" applyFont="1" applyBorder="1" applyAlignment="1">
      <alignment horizontal="center" vertical="center"/>
    </xf>
    <xf numFmtId="7" fontId="28" fillId="0" borderId="6" xfId="1" applyNumberFormat="1" applyFont="1" applyBorder="1" applyAlignment="1">
      <alignment horizontal="center" vertical="center"/>
    </xf>
    <xf numFmtId="0" fontId="23" fillId="0" borderId="2" xfId="0" applyFont="1" applyBorder="1" applyAlignment="1">
      <alignment vertical="center"/>
    </xf>
    <xf numFmtId="0" fontId="23" fillId="0" borderId="2" xfId="0" applyFont="1" applyBorder="1" applyAlignment="1">
      <alignment horizontal="center" vertical="center"/>
    </xf>
    <xf numFmtId="5" fontId="28" fillId="0" borderId="2" xfId="0" applyNumberFormat="1" applyFont="1" applyBorder="1" applyAlignment="1">
      <alignment vertical="center"/>
    </xf>
    <xf numFmtId="5" fontId="28" fillId="0" borderId="8" xfId="0" applyNumberFormat="1"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21" xfId="0" applyFont="1" applyBorder="1" applyAlignment="1">
      <alignment horizontal="left" vertical="center"/>
    </xf>
    <xf numFmtId="7" fontId="28" fillId="0" borderId="21" xfId="1" applyNumberFormat="1" applyFont="1" applyBorder="1" applyAlignment="1">
      <alignment horizontal="center" vertical="center"/>
    </xf>
    <xf numFmtId="167" fontId="23" fillId="0" borderId="0" xfId="0" applyNumberFormat="1" applyFont="1" applyAlignment="1">
      <alignment vertical="center"/>
    </xf>
    <xf numFmtId="5" fontId="28" fillId="0" borderId="6" xfId="0" applyNumberFormat="1" applyFont="1" applyBorder="1" applyAlignment="1">
      <alignment vertical="center"/>
    </xf>
    <xf numFmtId="165" fontId="23" fillId="0" borderId="21" xfId="2" applyNumberFormat="1" applyFont="1" applyBorder="1" applyAlignment="1">
      <alignment horizontal="right" vertical="center"/>
    </xf>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164" fontId="2" fillId="0" borderId="105" xfId="1" applyNumberFormat="1" applyFont="1" applyBorder="1" applyAlignment="1">
      <alignment horizontal="center" vertical="center" wrapText="1"/>
    </xf>
    <xf numFmtId="0" fontId="22" fillId="0" borderId="0" xfId="0" applyFont="1" applyAlignment="1">
      <alignment horizontal="center"/>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0" fontId="26" fillId="11" borderId="18"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5" fillId="11" borderId="20" xfId="0" applyFont="1" applyFill="1" applyBorder="1" applyAlignment="1">
      <alignment horizontal="left" vertical="center" wrapText="1"/>
    </xf>
    <xf numFmtId="0" fontId="25" fillId="11" borderId="21" xfId="0" applyFont="1" applyFill="1" applyBorder="1" applyAlignment="1">
      <alignment horizontal="left" vertical="center" wrapText="1"/>
    </xf>
    <xf numFmtId="167" fontId="26" fillId="11" borderId="18" xfId="0" applyNumberFormat="1" applyFont="1" applyFill="1" applyBorder="1" applyAlignment="1">
      <alignment horizontal="center" vertical="center" wrapText="1"/>
    </xf>
    <xf numFmtId="0" fontId="23" fillId="0" borderId="106" xfId="0" applyFont="1" applyBorder="1" applyAlignment="1">
      <alignment horizontal="left" vertical="top" wrapText="1"/>
    </xf>
    <xf numFmtId="0" fontId="23" fillId="0" borderId="24" xfId="0" applyFont="1" applyBorder="1" applyAlignment="1">
      <alignment horizontal="left" vertical="top" wrapText="1"/>
    </xf>
    <xf numFmtId="0" fontId="23" fillId="0" borderId="22" xfId="0" applyFont="1" applyBorder="1" applyAlignment="1">
      <alignment horizontal="left" vertical="top" wrapText="1"/>
    </xf>
    <xf numFmtId="0" fontId="23" fillId="0" borderId="44" xfId="0" applyFont="1" applyBorder="1" applyAlignment="1">
      <alignment horizontal="left" vertical="center" wrapText="1"/>
    </xf>
    <xf numFmtId="0" fontId="23" fillId="0" borderId="6" xfId="0" applyFont="1" applyBorder="1" applyAlignment="1">
      <alignment horizontal="left" vertical="center" wrapText="1"/>
    </xf>
    <xf numFmtId="0" fontId="23" fillId="0" borderId="82" xfId="0" applyFont="1" applyBorder="1" applyAlignment="1">
      <alignment horizontal="left" vertical="top" wrapText="1"/>
    </xf>
    <xf numFmtId="0" fontId="23" fillId="0" borderId="18"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3" fillId="0" borderId="6" xfId="0" applyFont="1" applyBorder="1" applyAlignment="1">
      <alignment horizontal="left" vertical="top" wrapText="1"/>
    </xf>
    <xf numFmtId="0" fontId="23" fillId="0" borderId="21" xfId="0" applyFont="1" applyBorder="1" applyAlignment="1">
      <alignment horizontal="left" vertical="top" wrapText="1"/>
    </xf>
    <xf numFmtId="0" fontId="23" fillId="0" borderId="19" xfId="0" applyFont="1" applyBorder="1" applyAlignment="1">
      <alignment horizontal="left" vertical="top" wrapText="1"/>
    </xf>
    <xf numFmtId="0" fontId="25" fillId="0" borderId="0" xfId="0" applyFont="1" applyAlignment="1">
      <alignment horizontal="center" vertical="center" wrapText="1"/>
    </xf>
    <xf numFmtId="0" fontId="24" fillId="0" borderId="0" xfId="0" applyFont="1" applyAlignment="1">
      <alignment horizontal="center" vertical="center"/>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9" fontId="23" fillId="0" borderId="8" xfId="2" applyNumberFormat="1" applyFont="1" applyBorder="1" applyAlignment="1">
      <alignment horizontal="right" vertical="center"/>
    </xf>
    <xf numFmtId="164" fontId="12" fillId="0" borderId="32" xfId="1" applyNumberFormat="1" applyFont="1" applyFill="1" applyBorder="1" applyAlignment="1">
      <alignment vertical="center"/>
    </xf>
    <xf numFmtId="164" fontId="12" fillId="0" borderId="33" xfId="1" applyNumberFormat="1" applyFont="1" applyFill="1" applyBorder="1" applyAlignment="1">
      <alignment vertical="center"/>
    </xf>
    <xf numFmtId="7" fontId="12" fillId="0" borderId="32" xfId="1" applyNumberFormat="1" applyFont="1" applyBorder="1" applyAlignment="1">
      <alignment horizontal="center" vertical="center"/>
    </xf>
    <xf numFmtId="7" fontId="12" fillId="0" borderId="33" xfId="1" applyNumberFormat="1" applyFont="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975"/>
          <c:h val="0.79804560260587887"/>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163506.67400000003</c:v>
                </c:pt>
                <c:pt idx="1">
                  <c:v>98137.924000000014</c:v>
                </c:pt>
                <c:pt idx="2">
                  <c:v>130724.95200000003</c:v>
                </c:pt>
                <c:pt idx="3">
                  <c:v>114315.45</c:v>
                </c:pt>
              </c:numCache>
            </c:numRef>
          </c:val>
        </c:ser>
        <c:firstSliceAng val="0"/>
      </c:pieChart>
    </c:plotArea>
    <c:legend>
      <c:legendPos val="r"/>
    </c:legend>
    <c:plotVisOnly val="1"/>
  </c:chart>
  <c:printSettings>
    <c:headerFooter/>
    <c:pageMargins b="0.75000000000000666" l="0.70000000000000062" r="0.70000000000000062" t="0.750000000000006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92"/>
          <c:h val="0.7980456026058802"/>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1136650</xdr:colOff>
      <xdr:row>0</xdr:row>
      <xdr:rowOff>596900</xdr:rowOff>
    </xdr:from>
    <xdr:to>
      <xdr:col>2</xdr:col>
      <xdr:colOff>342900</xdr:colOff>
      <xdr:row>2</xdr:row>
      <xdr:rowOff>133350</xdr:rowOff>
    </xdr:to>
    <xdr:cxnSp macro="">
      <xdr:nvCxnSpPr>
        <xdr:cNvPr id="3" name="Straight Arrow Connector 2"/>
        <xdr:cNvCxnSpPr/>
      </xdr:nvCxnSpPr>
      <xdr:spPr>
        <a:xfrm rot="10800000">
          <a:off x="1136650" y="596900"/>
          <a:ext cx="1498600" cy="508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0</xdr:row>
      <xdr:rowOff>101600</xdr:rowOff>
    </xdr:from>
    <xdr:to>
      <xdr:col>2</xdr:col>
      <xdr:colOff>577850</xdr:colOff>
      <xdr:row>0</xdr:row>
      <xdr:rowOff>539750</xdr:rowOff>
    </xdr:to>
    <xdr:sp macro="" textlink="">
      <xdr:nvSpPr>
        <xdr:cNvPr id="4" name="TextBox 3"/>
        <xdr:cNvSpPr txBox="1"/>
      </xdr:nvSpPr>
      <xdr:spPr>
        <a:xfrm>
          <a:off x="139700" y="101600"/>
          <a:ext cx="2730500" cy="4381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This is Nov YTD as I do not have final Dec 2020 yet.</a:t>
          </a:r>
          <a:r>
            <a:rPr lang="en-US" sz="1100" baseline="0"/>
            <a:t>  I will update once I have it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6"/>
  <sheetViews>
    <sheetView workbookViewId="0">
      <selection activeCell="F9" sqref="F9"/>
    </sheetView>
  </sheetViews>
  <sheetFormatPr defaultRowHeight="14.5"/>
  <cols>
    <col min="2" max="2" width="23.08984375" customWidth="1"/>
    <col min="3" max="5" width="11.54296875" customWidth="1"/>
    <col min="6" max="6" width="18.08984375" customWidth="1"/>
    <col min="7" max="7" width="12.6328125" customWidth="1"/>
  </cols>
  <sheetData>
    <row r="2" spans="2:7">
      <c r="B2" t="s">
        <v>455</v>
      </c>
    </row>
    <row r="3" spans="2:7" ht="58">
      <c r="C3" s="621" t="s">
        <v>465</v>
      </c>
      <c r="D3" s="621" t="s">
        <v>466</v>
      </c>
      <c r="E3" s="621"/>
      <c r="F3" s="622" t="s">
        <v>464</v>
      </c>
      <c r="G3" s="621" t="s">
        <v>462</v>
      </c>
    </row>
    <row r="4" spans="2:7">
      <c r="B4">
        <v>2018</v>
      </c>
      <c r="C4" s="623">
        <f>52894+15868</f>
        <v>68762</v>
      </c>
      <c r="D4" s="623">
        <f>52894+15868</f>
        <v>68762</v>
      </c>
      <c r="E4" s="623" t="s">
        <v>458</v>
      </c>
      <c r="F4" s="627">
        <f>52894+15868</f>
        <v>68762</v>
      </c>
      <c r="G4" s="624">
        <f>+F4-D4</f>
        <v>0</v>
      </c>
    </row>
    <row r="6" spans="2:7">
      <c r="B6" t="s">
        <v>456</v>
      </c>
      <c r="C6" s="624">
        <f>+ROUND(C4*(1+0.02),2)</f>
        <v>70137.240000000005</v>
      </c>
      <c r="D6" s="626">
        <v>71240</v>
      </c>
      <c r="E6" s="626" t="s">
        <v>459</v>
      </c>
      <c r="F6" s="627">
        <v>70137</v>
      </c>
      <c r="G6" s="624">
        <f>+F6-D6</f>
        <v>-1103</v>
      </c>
    </row>
    <row r="7" spans="2:7">
      <c r="C7" s="625">
        <f>(+C6-C4)/C4</f>
        <v>2.0000000000000077E-2</v>
      </c>
      <c r="D7" s="625">
        <f>(+D6-D4)/D4</f>
        <v>3.6037346208661759E-2</v>
      </c>
      <c r="E7" s="625"/>
    </row>
    <row r="8" spans="2:7">
      <c r="C8" s="625"/>
      <c r="D8" s="625"/>
      <c r="E8" s="625"/>
    </row>
    <row r="9" spans="2:7">
      <c r="B9" t="s">
        <v>457</v>
      </c>
      <c r="C9" s="624">
        <f>+ROUND(C6*(1+0.02),2)</f>
        <v>71539.98</v>
      </c>
      <c r="D9" s="626">
        <v>73783</v>
      </c>
      <c r="E9" s="626" t="s">
        <v>460</v>
      </c>
      <c r="F9" s="627">
        <v>71540</v>
      </c>
      <c r="G9" s="624">
        <f>+F9-D9</f>
        <v>-2243</v>
      </c>
    </row>
    <row r="10" spans="2:7">
      <c r="C10" s="625">
        <f>(+C9-C6)/C6</f>
        <v>1.9999931562747417E-2</v>
      </c>
      <c r="D10" s="625">
        <f>(+D9-D6)/D6</f>
        <v>3.5696238068500842E-2</v>
      </c>
      <c r="E10" s="625"/>
    </row>
    <row r="11" spans="2:7">
      <c r="C11" s="624"/>
      <c r="D11" s="624"/>
      <c r="E11" s="624"/>
    </row>
    <row r="12" spans="2:7">
      <c r="B12" t="s">
        <v>463</v>
      </c>
      <c r="C12" s="624">
        <f>+ROUND(C9*(1+0.01),2)</f>
        <v>72255.38</v>
      </c>
      <c r="D12" s="626">
        <v>75618</v>
      </c>
      <c r="E12" s="626" t="s">
        <v>461</v>
      </c>
      <c r="F12" s="628">
        <f>+F9*(1+0.01)</f>
        <v>72255.399999999994</v>
      </c>
      <c r="G12" s="628">
        <f>+D12-F9</f>
        <v>4078</v>
      </c>
    </row>
    <row r="13" spans="2:7">
      <c r="C13" s="625">
        <f>(+C12-C9)/C9</f>
        <v>1.0000002795639708E-2</v>
      </c>
      <c r="D13" s="625">
        <f>(+D12-D9)/D9</f>
        <v>2.4870227559193853E-2</v>
      </c>
      <c r="E13" s="625"/>
      <c r="F13" s="625">
        <f>(+F12-F9)/F9</f>
        <v>9.9999999999999187E-3</v>
      </c>
      <c r="G13" s="625">
        <f>+G12/F9</f>
        <v>5.7003075202683814E-2</v>
      </c>
    </row>
    <row r="16" spans="2:7">
      <c r="F16" s="629">
        <f>2000/F9</f>
        <v>2.7956388034665922E-2</v>
      </c>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918" t="s">
        <v>454</v>
      </c>
      <c r="B1" s="918"/>
      <c r="C1" s="918"/>
      <c r="D1" s="918"/>
      <c r="E1" s="918"/>
      <c r="F1" s="918"/>
      <c r="G1" s="918"/>
      <c r="H1" s="918"/>
      <c r="I1" s="359"/>
      <c r="J1" s="359"/>
    </row>
    <row r="2" spans="1:18" ht="21" hidden="1">
      <c r="B2" s="918"/>
      <c r="C2" s="918"/>
      <c r="D2" s="918"/>
      <c r="E2" s="359"/>
      <c r="F2" s="359"/>
      <c r="G2" s="359"/>
      <c r="H2" s="359"/>
      <c r="I2" s="359"/>
      <c r="J2" s="359"/>
    </row>
    <row r="3" spans="1:18" hidden="1">
      <c r="B3" s="215" t="s">
        <v>428</v>
      </c>
      <c r="C3" s="181"/>
      <c r="D3" s="194"/>
      <c r="E3" s="195"/>
    </row>
    <row r="4" spans="1:18" hidden="1">
      <c r="B4" s="194" t="s">
        <v>409</v>
      </c>
      <c r="C4" s="472">
        <f>20808*(1+'New Year-Full Year'!F$106)</f>
        <v>21016.080000000002</v>
      </c>
      <c r="D4" s="474"/>
      <c r="E4" s="195"/>
    </row>
    <row r="5" spans="1:18" hidden="1">
      <c r="B5" s="194" t="s">
        <v>410</v>
      </c>
      <c r="C5" s="472">
        <f>45000*(1+'New Year-Full Year'!F$106)</f>
        <v>45450</v>
      </c>
      <c r="D5" s="474"/>
      <c r="E5" s="195"/>
    </row>
    <row r="6" spans="1:18" hidden="1">
      <c r="B6" s="194" t="s">
        <v>382</v>
      </c>
      <c r="C6" s="472">
        <f>(+C4+C5)*C25</f>
        <v>5084.6551200000004</v>
      </c>
      <c r="D6" s="474"/>
      <c r="E6" s="195"/>
    </row>
    <row r="7" spans="1:18" hidden="1">
      <c r="B7" s="194" t="s">
        <v>383</v>
      </c>
      <c r="C7" s="472">
        <f>+'New Year-Full Year'!Q135+'New Year-Full Year'!Q136+'New Year-Full Year'!Q137+'New Year-Full Year'!Q138+'New Year-Full Year'!Q139</f>
        <v>200</v>
      </c>
      <c r="D7" s="474"/>
      <c r="E7" s="195"/>
    </row>
    <row r="8" spans="1:18" hidden="1">
      <c r="B8" s="194" t="s">
        <v>384</v>
      </c>
      <c r="C8" s="472">
        <f>+'New Year-Full Year'!Q189</f>
        <v>250</v>
      </c>
      <c r="D8" s="474"/>
      <c r="E8" s="195"/>
    </row>
    <row r="9" spans="1:18" ht="15" hidden="1" customHeight="1">
      <c r="B9" s="194" t="s">
        <v>170</v>
      </c>
      <c r="C9" s="184">
        <f>SUM(C4:C8)</f>
        <v>72000.735119999998</v>
      </c>
      <c r="D9" s="475"/>
      <c r="E9" s="195"/>
    </row>
    <row r="10" spans="1:18" ht="10" customHeight="1">
      <c r="B10" s="195"/>
      <c r="C10" s="162"/>
      <c r="D10" s="162"/>
      <c r="E10" s="335"/>
    </row>
    <row r="11" spans="1:18" ht="29.5" customHeight="1">
      <c r="C11" s="466" t="s">
        <v>443</v>
      </c>
      <c r="D11" s="233" t="s">
        <v>331</v>
      </c>
      <c r="E11" s="676" t="s">
        <v>450</v>
      </c>
      <c r="F11" s="919" t="s">
        <v>448</v>
      </c>
      <c r="G11" s="920"/>
      <c r="H11" s="920"/>
    </row>
    <row r="12" spans="1:18" ht="14.5" customHeight="1">
      <c r="A12" s="915" t="s">
        <v>449</v>
      </c>
      <c r="B12" s="478" t="s">
        <v>42</v>
      </c>
      <c r="C12" s="467">
        <f>+C14-C13</f>
        <v>40802</v>
      </c>
      <c r="D12" s="436">
        <f>+D14-D13</f>
        <v>40802</v>
      </c>
      <c r="E12" s="184">
        <f>+E14-E13</f>
        <v>42687</v>
      </c>
      <c r="F12" s="919"/>
      <c r="G12" s="920"/>
      <c r="H12" s="920"/>
    </row>
    <row r="13" spans="1:18" ht="15" thickBot="1">
      <c r="A13" s="916"/>
      <c r="B13" s="182" t="s">
        <v>168</v>
      </c>
      <c r="C13" s="189">
        <f>ROUND(+C14*0.3,0)</f>
        <v>17487</v>
      </c>
      <c r="D13" s="149">
        <f>ROUND(+D14*0.3,0)</f>
        <v>17487</v>
      </c>
      <c r="E13" s="470">
        <v>20000</v>
      </c>
      <c r="F13" s="919"/>
      <c r="G13" s="920"/>
      <c r="H13" s="920"/>
    </row>
    <row r="14" spans="1:18" ht="14.5" customHeight="1">
      <c r="A14" s="916"/>
      <c r="B14" s="182" t="s">
        <v>170</v>
      </c>
      <c r="C14" s="468">
        <v>58289</v>
      </c>
      <c r="D14" s="435">
        <v>58289</v>
      </c>
      <c r="E14" s="193">
        <f>+ROUND((62066*1.01),0)</f>
        <v>62687</v>
      </c>
      <c r="F14" s="919"/>
      <c r="G14" s="920"/>
      <c r="H14" s="920"/>
    </row>
    <row r="15" spans="1:18" ht="5.5" customHeight="1">
      <c r="A15" s="916"/>
      <c r="B15" s="194"/>
      <c r="C15" s="187"/>
      <c r="D15" s="148"/>
      <c r="E15" s="187"/>
      <c r="H15" s="144" t="s">
        <v>446</v>
      </c>
      <c r="I15" s="195"/>
      <c r="J15" s="195"/>
      <c r="K15" s="195"/>
      <c r="L15" s="195"/>
      <c r="M15" s="195"/>
      <c r="N15" s="195"/>
      <c r="O15" s="195"/>
      <c r="P15" s="195"/>
      <c r="Q15" s="195"/>
      <c r="R15" s="195"/>
    </row>
    <row r="16" spans="1:18">
      <c r="A16" s="916"/>
      <c r="B16" s="182" t="s">
        <v>184</v>
      </c>
      <c r="C16" s="469">
        <v>1</v>
      </c>
      <c r="D16" s="433">
        <v>0.5</v>
      </c>
      <c r="E16" s="197">
        <v>1</v>
      </c>
      <c r="I16" s="195"/>
      <c r="J16" s="195"/>
      <c r="K16" s="195"/>
      <c r="L16" s="195"/>
      <c r="M16" s="195"/>
      <c r="N16" s="195"/>
      <c r="O16" s="195"/>
      <c r="P16" s="195"/>
      <c r="Q16" s="195"/>
      <c r="R16" s="195"/>
    </row>
    <row r="17" spans="1:18" ht="14.5" hidden="1" customHeight="1">
      <c r="A17" s="916"/>
      <c r="B17" s="194"/>
      <c r="C17" s="187"/>
      <c r="D17" s="148"/>
      <c r="E17" s="187"/>
      <c r="I17" s="195"/>
      <c r="J17" s="195"/>
      <c r="K17" s="195"/>
      <c r="L17" s="195"/>
      <c r="M17" s="195"/>
      <c r="N17" s="195"/>
      <c r="O17" s="195"/>
      <c r="P17" s="195"/>
      <c r="Q17" s="195"/>
      <c r="R17" s="195"/>
    </row>
    <row r="18" spans="1:18">
      <c r="A18" s="916"/>
      <c r="B18" s="182" t="s">
        <v>200</v>
      </c>
      <c r="C18" s="448">
        <v>0</v>
      </c>
      <c r="D18" s="453">
        <v>0</v>
      </c>
      <c r="E18" s="200">
        <v>0</v>
      </c>
      <c r="I18" s="195"/>
      <c r="J18" s="195"/>
      <c r="K18" s="195"/>
      <c r="L18" s="195"/>
      <c r="M18" s="195"/>
      <c r="N18" s="195"/>
      <c r="O18" s="195"/>
      <c r="P18" s="195"/>
      <c r="Q18" s="195"/>
      <c r="R18" s="195"/>
    </row>
    <row r="19" spans="1:18">
      <c r="A19" s="916"/>
      <c r="B19" s="201" t="s">
        <v>198</v>
      </c>
      <c r="C19" s="438">
        <f>ROUND(+C14*(1+C18)*C16,0)</f>
        <v>58289</v>
      </c>
      <c r="D19" s="153">
        <f>ROUND(+D14*(1+D18)*D16,0)</f>
        <v>29145</v>
      </c>
      <c r="E19" s="611">
        <f>ROUND(+E14*(1+E18)*E16,0)</f>
        <v>62687</v>
      </c>
      <c r="I19" s="195"/>
      <c r="J19" s="195"/>
      <c r="K19" s="195"/>
      <c r="L19" s="195"/>
      <c r="M19" s="127"/>
      <c r="N19" s="223"/>
      <c r="O19" s="195"/>
      <c r="P19" s="195"/>
      <c r="Q19" s="195"/>
      <c r="R19" s="195"/>
    </row>
    <row r="20" spans="1:18" ht="10" customHeight="1">
      <c r="A20" s="916"/>
      <c r="B20" s="921" t="s">
        <v>445</v>
      </c>
      <c r="C20" s="187"/>
      <c r="D20" s="148"/>
      <c r="E20" s="187"/>
      <c r="I20" s="195"/>
      <c r="J20" s="195"/>
      <c r="K20" s="195"/>
      <c r="L20" s="195"/>
      <c r="M20" s="127"/>
      <c r="N20" s="195"/>
      <c r="O20" s="195"/>
      <c r="P20" s="195"/>
      <c r="Q20" s="195"/>
      <c r="R20" s="195"/>
    </row>
    <row r="21" spans="1:18">
      <c r="A21" s="916"/>
      <c r="B21" s="921"/>
      <c r="C21" s="206">
        <f>+C38</f>
        <v>0</v>
      </c>
      <c r="D21" s="143">
        <f>+D38</f>
        <v>0</v>
      </c>
      <c r="E21" s="206">
        <f>+E38</f>
        <v>2400</v>
      </c>
      <c r="I21" s="195"/>
      <c r="J21" s="195"/>
      <c r="K21" s="195"/>
      <c r="L21" s="195"/>
      <c r="M21" s="128"/>
      <c r="N21" s="195"/>
      <c r="O21" s="195"/>
      <c r="P21" s="195"/>
      <c r="Q21" s="195"/>
      <c r="R21" s="195"/>
    </row>
    <row r="22" spans="1:18" ht="8.5" customHeight="1">
      <c r="A22" s="916"/>
      <c r="B22" s="921"/>
      <c r="C22" s="187"/>
      <c r="D22" s="148"/>
      <c r="E22" s="187"/>
      <c r="I22" s="239"/>
      <c r="J22" s="239"/>
      <c r="K22" s="195"/>
      <c r="L22" s="195"/>
      <c r="M22" s="610"/>
      <c r="N22" s="195"/>
      <c r="O22" s="195"/>
      <c r="P22" s="195"/>
      <c r="Q22" s="195"/>
      <c r="R22" s="195"/>
    </row>
    <row r="23" spans="1:18">
      <c r="A23" s="916"/>
      <c r="B23" s="201" t="s">
        <v>198</v>
      </c>
      <c r="C23" s="438">
        <f>+C19+C21</f>
        <v>58289</v>
      </c>
      <c r="D23" s="153">
        <f>+D19+D21</f>
        <v>29145</v>
      </c>
      <c r="E23" s="611">
        <f>+E19+E21</f>
        <v>65087</v>
      </c>
      <c r="I23" s="195"/>
      <c r="J23" s="195"/>
      <c r="K23" s="195"/>
      <c r="L23" s="195"/>
      <c r="M23" s="218"/>
      <c r="N23" s="195"/>
      <c r="O23" s="195"/>
      <c r="P23" s="195"/>
      <c r="Q23" s="195"/>
      <c r="R23" s="195"/>
    </row>
    <row r="24" spans="1:18" ht="6.5" customHeight="1">
      <c r="A24" s="916"/>
      <c r="B24" s="194"/>
      <c r="C24" s="187"/>
      <c r="D24" s="148"/>
      <c r="E24" s="187"/>
      <c r="I24" s="195"/>
      <c r="J24" s="195"/>
      <c r="K24" s="195"/>
      <c r="L24" s="195"/>
      <c r="M24" s="195"/>
      <c r="N24" s="195"/>
      <c r="O24" s="195"/>
      <c r="P24" s="195"/>
      <c r="Q24" s="195"/>
      <c r="R24" s="195"/>
    </row>
    <row r="25" spans="1:18">
      <c r="A25" s="916"/>
      <c r="B25" s="194" t="s">
        <v>453</v>
      </c>
      <c r="C25" s="208">
        <v>7.6499999999999999E-2</v>
      </c>
      <c r="D25" s="142">
        <v>7.6499999999999999E-2</v>
      </c>
      <c r="E25" s="208">
        <v>7.6499999999999999E-2</v>
      </c>
      <c r="F25" s="144" t="s">
        <v>452</v>
      </c>
      <c r="G25" s="582"/>
      <c r="I25" s="195"/>
      <c r="J25" s="195"/>
      <c r="K25" s="195"/>
      <c r="L25" s="195"/>
      <c r="M25" s="127"/>
      <c r="N25" s="195"/>
      <c r="O25" s="195"/>
      <c r="P25" s="195"/>
      <c r="Q25" s="195"/>
      <c r="R25" s="195"/>
    </row>
    <row r="26" spans="1:18" ht="3.5" customHeight="1">
      <c r="A26" s="916"/>
      <c r="B26" s="194"/>
      <c r="C26" s="187"/>
      <c r="D26" s="148"/>
      <c r="E26" s="187"/>
      <c r="I26" s="239"/>
      <c r="J26" s="239"/>
      <c r="K26" s="195"/>
      <c r="L26" s="195"/>
      <c r="M26" s="610"/>
      <c r="N26" s="195"/>
      <c r="O26" s="195"/>
      <c r="P26" s="195"/>
      <c r="Q26" s="195"/>
      <c r="R26" s="195"/>
    </row>
    <row r="27" spans="1:18" ht="14.5" hidden="1" customHeight="1">
      <c r="A27" s="916"/>
      <c r="B27" s="194"/>
      <c r="C27" s="187"/>
      <c r="D27" s="148"/>
      <c r="E27" s="187"/>
      <c r="I27" s="239"/>
      <c r="J27" s="239"/>
      <c r="K27" s="225"/>
      <c r="L27" s="195"/>
      <c r="M27" s="218"/>
      <c r="N27" s="195"/>
      <c r="O27" s="195"/>
      <c r="P27" s="195"/>
      <c r="Q27" s="195"/>
      <c r="R27" s="195"/>
    </row>
    <row r="28" spans="1:18">
      <c r="A28" s="916"/>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916"/>
      <c r="B29" s="194"/>
      <c r="C29" s="187"/>
      <c r="D29" s="148"/>
      <c r="E29" s="187"/>
      <c r="I29" s="195"/>
      <c r="J29" s="195"/>
      <c r="K29" s="195"/>
      <c r="L29" s="195"/>
      <c r="M29" s="195"/>
      <c r="N29" s="195"/>
      <c r="O29" s="195"/>
      <c r="P29" s="195"/>
      <c r="Q29" s="195"/>
      <c r="R29" s="195"/>
    </row>
    <row r="30" spans="1:18">
      <c r="A30" s="917"/>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915" t="s">
        <v>205</v>
      </c>
      <c r="B32" s="177" t="s">
        <v>202</v>
      </c>
      <c r="C32" s="616">
        <f>ROUND(22025*C16,0)</f>
        <v>22025</v>
      </c>
      <c r="D32" s="617">
        <f>ROUND(C32*D$16,0)</f>
        <v>11013</v>
      </c>
      <c r="E32" s="618">
        <v>6000</v>
      </c>
      <c r="I32" s="239"/>
      <c r="J32" s="195"/>
      <c r="K32" s="195"/>
      <c r="L32" s="195"/>
      <c r="M32" s="195"/>
      <c r="N32" s="195"/>
      <c r="O32" s="195"/>
      <c r="P32" s="195"/>
      <c r="Q32" s="195"/>
      <c r="R32" s="195"/>
    </row>
    <row r="33" spans="1:18">
      <c r="A33" s="916"/>
      <c r="B33" s="194" t="s">
        <v>229</v>
      </c>
      <c r="C33" s="187"/>
      <c r="D33" s="139"/>
      <c r="E33" s="444">
        <v>0</v>
      </c>
      <c r="I33" s="239"/>
      <c r="J33" s="195"/>
      <c r="K33" s="195"/>
      <c r="L33" s="195"/>
      <c r="M33" s="195"/>
      <c r="N33" s="195"/>
      <c r="O33" s="195"/>
      <c r="P33" s="195"/>
      <c r="Q33" s="195"/>
      <c r="R33" s="195"/>
    </row>
    <row r="34" spans="1:18">
      <c r="A34" s="916"/>
      <c r="B34" s="202" t="s">
        <v>205</v>
      </c>
      <c r="C34" s="187"/>
      <c r="D34" s="140"/>
      <c r="E34" s="445">
        <f>+E32+E33</f>
        <v>6000</v>
      </c>
      <c r="I34" s="239"/>
      <c r="J34" s="195"/>
      <c r="K34" s="195"/>
      <c r="L34" s="195"/>
      <c r="M34" s="195"/>
      <c r="N34" s="195"/>
      <c r="O34" s="195"/>
      <c r="P34" s="195"/>
      <c r="Q34" s="195"/>
      <c r="R34" s="195"/>
    </row>
    <row r="35" spans="1:18" ht="6.5" customHeight="1">
      <c r="A35" s="916"/>
      <c r="B35" s="194"/>
      <c r="C35" s="187"/>
      <c r="D35" s="152"/>
      <c r="E35" s="187"/>
      <c r="I35" s="239"/>
      <c r="J35" s="195"/>
      <c r="K35" s="195"/>
      <c r="L35" s="195"/>
      <c r="M35" s="195"/>
      <c r="N35" s="195"/>
      <c r="O35" s="195"/>
      <c r="P35" s="195"/>
      <c r="Q35" s="195"/>
      <c r="R35" s="195"/>
    </row>
    <row r="36" spans="1:18">
      <c r="A36" s="916"/>
      <c r="B36" s="194" t="s">
        <v>388</v>
      </c>
      <c r="C36" s="187"/>
      <c r="D36" s="139"/>
      <c r="E36" s="444">
        <v>1800</v>
      </c>
      <c r="I36" s="239"/>
      <c r="J36" s="195"/>
      <c r="K36" s="195"/>
      <c r="L36" s="195"/>
      <c r="M36" s="195"/>
      <c r="N36" s="195"/>
      <c r="O36" s="195"/>
      <c r="P36" s="195"/>
      <c r="Q36" s="195"/>
      <c r="R36" s="195"/>
    </row>
    <row r="37" spans="1:18">
      <c r="A37" s="916"/>
      <c r="B37" s="194" t="s">
        <v>203</v>
      </c>
      <c r="C37" s="187"/>
      <c r="D37" s="485"/>
      <c r="E37" s="486">
        <v>0.25</v>
      </c>
      <c r="F37" s="151"/>
      <c r="I37" s="239"/>
      <c r="J37" s="195"/>
      <c r="K37" s="195"/>
      <c r="L37" s="195"/>
      <c r="M37" s="195"/>
      <c r="N37" s="195"/>
      <c r="O37" s="195"/>
      <c r="P37" s="195"/>
      <c r="Q37" s="195"/>
      <c r="R37" s="195"/>
    </row>
    <row r="38" spans="1:18">
      <c r="A38" s="916"/>
      <c r="B38" s="202" t="s">
        <v>444</v>
      </c>
      <c r="C38" s="490">
        <v>0</v>
      </c>
      <c r="D38" s="609">
        <v>0</v>
      </c>
      <c r="E38" s="445">
        <f>ROUND(+E36/(1-E37),0)</f>
        <v>2400</v>
      </c>
      <c r="F38" s="151"/>
      <c r="I38" s="239"/>
      <c r="J38" s="195"/>
      <c r="K38" s="195"/>
      <c r="L38" s="195"/>
      <c r="M38" s="195"/>
      <c r="N38" s="195"/>
      <c r="O38" s="195"/>
      <c r="P38" s="195"/>
      <c r="Q38" s="195"/>
      <c r="R38" s="195"/>
    </row>
    <row r="39" spans="1:18">
      <c r="A39" s="917"/>
      <c r="B39" s="209" t="s">
        <v>206</v>
      </c>
      <c r="C39" s="613">
        <v>0</v>
      </c>
      <c r="D39" s="612">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915" t="s">
        <v>173</v>
      </c>
      <c r="B41" s="215" t="s">
        <v>381</v>
      </c>
      <c r="C41" s="471">
        <v>0.1</v>
      </c>
      <c r="D41" s="451">
        <v>0.1</v>
      </c>
      <c r="E41" s="446">
        <v>0.1</v>
      </c>
      <c r="I41" s="195"/>
      <c r="J41" s="195"/>
      <c r="K41" s="195"/>
      <c r="L41" s="195"/>
      <c r="M41" s="195"/>
      <c r="N41" s="195"/>
      <c r="O41" s="195"/>
      <c r="P41" s="195"/>
      <c r="Q41" s="195"/>
      <c r="R41" s="195"/>
    </row>
    <row r="42" spans="1:18">
      <c r="A42" s="916"/>
      <c r="B42" s="194" t="s">
        <v>211</v>
      </c>
      <c r="C42" s="184">
        <f>+C30</f>
        <v>62748</v>
      </c>
      <c r="D42" s="147">
        <f>+D30</f>
        <v>31375</v>
      </c>
      <c r="E42" s="472">
        <f>+E30</f>
        <v>70066</v>
      </c>
      <c r="I42" s="195"/>
      <c r="J42" s="195"/>
      <c r="K42" s="195"/>
      <c r="L42" s="195"/>
      <c r="M42" s="195"/>
      <c r="N42" s="195"/>
      <c r="O42" s="195"/>
      <c r="P42" s="195"/>
      <c r="Q42" s="195"/>
      <c r="R42" s="195"/>
    </row>
    <row r="43" spans="1:18">
      <c r="A43" s="916"/>
      <c r="B43" s="194" t="s">
        <v>173</v>
      </c>
      <c r="C43" s="184">
        <f>ROUND(+C42*C41,0)</f>
        <v>6275</v>
      </c>
      <c r="D43" s="147">
        <f>ROUND(+D42*D41,0)</f>
        <v>3138</v>
      </c>
      <c r="E43" s="472">
        <f>ROUND(+E42*E41,0)</f>
        <v>7007</v>
      </c>
    </row>
    <row r="44" spans="1:18">
      <c r="A44" s="916"/>
      <c r="B44" s="194" t="s">
        <v>208</v>
      </c>
      <c r="C44" s="184">
        <f>+C39</f>
        <v>0</v>
      </c>
      <c r="D44" s="147">
        <f>+D39</f>
        <v>0</v>
      </c>
      <c r="E44" s="472">
        <f>+E39</f>
        <v>4200</v>
      </c>
    </row>
    <row r="45" spans="1:18">
      <c r="A45" s="916"/>
      <c r="B45" s="194" t="s">
        <v>390</v>
      </c>
      <c r="C45" s="184"/>
      <c r="D45" s="147"/>
      <c r="E45" s="472">
        <f>+E44+E43</f>
        <v>11207</v>
      </c>
    </row>
    <row r="46" spans="1:18">
      <c r="A46" s="916"/>
      <c r="B46" s="194" t="s">
        <v>214</v>
      </c>
      <c r="C46" s="184"/>
      <c r="D46" s="147"/>
      <c r="E46" s="674">
        <f>+E45/E30</f>
        <v>0.15994919076299488</v>
      </c>
    </row>
    <row r="47" spans="1:18">
      <c r="A47" s="916"/>
      <c r="B47" s="194" t="s">
        <v>389</v>
      </c>
      <c r="C47" s="184"/>
      <c r="D47" s="147"/>
      <c r="E47" s="675">
        <v>0.16</v>
      </c>
    </row>
    <row r="48" spans="1:18">
      <c r="A48" s="917"/>
      <c r="B48" s="209" t="s">
        <v>209</v>
      </c>
      <c r="C48" s="213">
        <f t="shared" ref="C48" si="2">+C43+C44</f>
        <v>6275</v>
      </c>
      <c r="D48" s="155">
        <f t="shared" ref="D48" si="3">+D43+D44</f>
        <v>3138</v>
      </c>
      <c r="E48" s="441">
        <f>ROUND(+E47*E30,0)</f>
        <v>11211</v>
      </c>
    </row>
    <row r="49" spans="1:8" hidden="1">
      <c r="B49" s="210" t="s">
        <v>214</v>
      </c>
      <c r="C49" s="447">
        <f>+C48/C42</f>
        <v>0.10000318735258494</v>
      </c>
      <c r="D49" s="452">
        <f>+D48/D42</f>
        <v>0.10001593625498008</v>
      </c>
      <c r="E49" s="226"/>
    </row>
    <row r="50" spans="1:8" ht="7" customHeight="1">
      <c r="B50" s="214"/>
      <c r="D50" s="214"/>
      <c r="E50" s="214"/>
    </row>
    <row r="51" spans="1:8">
      <c r="A51" s="915" t="s">
        <v>174</v>
      </c>
      <c r="B51" s="177" t="s">
        <v>176</v>
      </c>
      <c r="C51" s="471">
        <v>1.4999999999999999E-2</v>
      </c>
      <c r="D51" s="451">
        <v>1.4999999999999999E-2</v>
      </c>
      <c r="E51" s="471">
        <v>1.4999999999999999E-2</v>
      </c>
    </row>
    <row r="52" spans="1:8">
      <c r="A52" s="916"/>
      <c r="B52" s="194" t="s">
        <v>177</v>
      </c>
      <c r="C52" s="448">
        <v>7.0000000000000001E-3</v>
      </c>
      <c r="D52" s="453">
        <v>7.0000000000000001E-3</v>
      </c>
      <c r="E52" s="448">
        <v>7.0000000000000001E-3</v>
      </c>
    </row>
    <row r="53" spans="1:8">
      <c r="A53" s="916"/>
      <c r="B53" s="194" t="s">
        <v>366</v>
      </c>
      <c r="C53" s="448">
        <v>7.0000000000000001E-3</v>
      </c>
      <c r="D53" s="453">
        <v>7.0000000000000001E-3</v>
      </c>
      <c r="E53" s="448">
        <v>0</v>
      </c>
      <c r="F53" s="144" t="s">
        <v>451</v>
      </c>
    </row>
    <row r="54" spans="1:8">
      <c r="A54" s="916"/>
      <c r="B54" s="194" t="s">
        <v>216</v>
      </c>
      <c r="C54" s="449">
        <f t="shared" ref="C54" si="4">+C51+C52+C53</f>
        <v>2.8999999999999998E-2</v>
      </c>
      <c r="D54" s="454">
        <f t="shared" ref="D54:E54" si="5">+D51+D52+D53</f>
        <v>2.8999999999999998E-2</v>
      </c>
      <c r="E54" s="449">
        <f t="shared" si="5"/>
        <v>2.1999999999999999E-2</v>
      </c>
    </row>
    <row r="55" spans="1:8">
      <c r="A55" s="916"/>
      <c r="B55" s="194" t="s">
        <v>211</v>
      </c>
      <c r="C55" s="184">
        <f>+C30</f>
        <v>62748</v>
      </c>
      <c r="D55" s="147">
        <f>+D30</f>
        <v>31375</v>
      </c>
      <c r="E55" s="184">
        <f>+E30</f>
        <v>70066</v>
      </c>
    </row>
    <row r="56" spans="1:8">
      <c r="A56" s="917"/>
      <c r="B56" s="165" t="s">
        <v>215</v>
      </c>
      <c r="C56" s="213">
        <f>ROUND(+C55*C54,0)</f>
        <v>1820</v>
      </c>
      <c r="D56" s="155">
        <f>ROUND(+D55*D54,0)</f>
        <v>910</v>
      </c>
      <c r="E56" s="614">
        <f>ROUND(+E55*E54,0)</f>
        <v>1541</v>
      </c>
    </row>
    <row r="57" spans="1:8" ht="7.5" customHeight="1"/>
    <row r="58" spans="1:8">
      <c r="A58" s="915" t="s">
        <v>107</v>
      </c>
      <c r="B58" s="157" t="s">
        <v>222</v>
      </c>
      <c r="C58" s="619">
        <v>1200</v>
      </c>
      <c r="D58" s="620">
        <f>ROUND(C58*D$16,0)</f>
        <v>600</v>
      </c>
      <c r="E58" s="619">
        <v>1200</v>
      </c>
    </row>
    <row r="59" spans="1:8">
      <c r="A59" s="916"/>
      <c r="B59" s="159" t="s">
        <v>447</v>
      </c>
      <c r="C59" s="440">
        <v>750</v>
      </c>
      <c r="D59" s="456">
        <f>ROUND(C59*D$16,0)</f>
        <v>375</v>
      </c>
      <c r="E59" s="440">
        <v>1300</v>
      </c>
    </row>
    <row r="60" spans="1:8">
      <c r="A60" s="916"/>
      <c r="B60" s="159" t="s">
        <v>107</v>
      </c>
      <c r="C60" s="440">
        <v>600</v>
      </c>
      <c r="D60" s="456">
        <f>ROUND(C60*D$16,0)</f>
        <v>300</v>
      </c>
      <c r="E60" s="440">
        <v>600</v>
      </c>
    </row>
    <row r="61" spans="1:8">
      <c r="A61" s="916"/>
      <c r="B61" s="194" t="s">
        <v>238</v>
      </c>
      <c r="C61" s="440">
        <v>480</v>
      </c>
      <c r="D61" s="456">
        <f>ROUND(C61*D$16,0)</f>
        <v>240</v>
      </c>
      <c r="E61" s="440">
        <v>480</v>
      </c>
    </row>
    <row r="62" spans="1:8">
      <c r="A62" s="916"/>
      <c r="B62" s="210" t="s">
        <v>355</v>
      </c>
      <c r="C62" s="470">
        <v>300</v>
      </c>
      <c r="D62" s="450">
        <v>300</v>
      </c>
      <c r="E62" s="470"/>
    </row>
    <row r="63" spans="1:8">
      <c r="A63" s="917"/>
      <c r="B63" s="170" t="s">
        <v>225</v>
      </c>
      <c r="C63" s="441">
        <f>+SUM(C58:C62)</f>
        <v>3330</v>
      </c>
      <c r="D63" s="236">
        <f>+SUM(D58:D62)</f>
        <v>1815</v>
      </c>
      <c r="E63" s="615">
        <f>+SUM(E58:E61)</f>
        <v>3580</v>
      </c>
      <c r="H63" s="151"/>
    </row>
    <row r="64" spans="1:8" ht="8" customHeight="1"/>
    <row r="65" spans="2:8">
      <c r="B65" s="173" t="s">
        <v>379</v>
      </c>
      <c r="C65" s="442">
        <f>+C30+C32+C48+C56+C63</f>
        <v>96198</v>
      </c>
      <c r="D65" s="176">
        <f>+D30+D32+D48+D56+D63</f>
        <v>48251</v>
      </c>
      <c r="E65" s="176">
        <f>+E30+E48+E56+E63</f>
        <v>86398</v>
      </c>
      <c r="F65" s="151"/>
      <c r="G65" s="691"/>
      <c r="H65" s="480"/>
    </row>
    <row r="66" spans="2:8" ht="7.5" customHeight="1">
      <c r="B66" s="239"/>
      <c r="C66" s="225"/>
      <c r="D66" s="225"/>
      <c r="E66" s="225"/>
    </row>
    <row r="67" spans="2:8" hidden="1">
      <c r="B67" s="476" t="s">
        <v>380</v>
      </c>
      <c r="C67" s="477">
        <f>+C9-C65</f>
        <v>-24197.264880000002</v>
      </c>
      <c r="D67" s="328"/>
      <c r="E67" s="328"/>
    </row>
    <row r="68" spans="2:8" hidden="1">
      <c r="C68" s="473"/>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P80"/>
  <sheetViews>
    <sheetView showGridLines="0" workbookViewId="0">
      <selection activeCell="E30" sqref="E30"/>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918" t="s">
        <v>393</v>
      </c>
      <c r="B1" s="918"/>
      <c r="C1" s="918"/>
      <c r="D1" s="918"/>
      <c r="E1" s="918"/>
      <c r="F1" s="918"/>
      <c r="G1" s="918"/>
      <c r="H1" s="918"/>
      <c r="I1" s="918"/>
      <c r="J1" s="918"/>
      <c r="K1" s="918"/>
      <c r="L1" s="918"/>
      <c r="M1" s="918"/>
      <c r="N1" s="918"/>
      <c r="O1" s="918"/>
    </row>
    <row r="2" spans="1:15" ht="21">
      <c r="A2" s="918" t="s">
        <v>331</v>
      </c>
      <c r="B2" s="918"/>
      <c r="C2" s="918"/>
      <c r="D2" s="918"/>
      <c r="E2" s="918"/>
      <c r="F2" s="918"/>
      <c r="G2" s="918"/>
      <c r="H2" s="918"/>
      <c r="I2" s="918"/>
      <c r="J2" s="918"/>
      <c r="K2" s="918"/>
      <c r="L2" s="918"/>
      <c r="M2" s="918"/>
      <c r="N2" s="918"/>
      <c r="O2" s="918"/>
    </row>
    <row r="3" spans="1:15" ht="15" thickBot="1"/>
    <row r="4" spans="1:15" ht="32.5" customHeight="1" thickTop="1" thickBot="1">
      <c r="C4" s="538" t="s">
        <v>199</v>
      </c>
      <c r="D4" s="538" t="s">
        <v>331</v>
      </c>
      <c r="E4" s="539" t="s">
        <v>475</v>
      </c>
      <c r="F4" s="946" t="s">
        <v>392</v>
      </c>
      <c r="G4" s="946"/>
      <c r="H4" s="946"/>
      <c r="I4" s="946"/>
      <c r="J4" s="946"/>
      <c r="K4" s="946"/>
      <c r="L4" s="946"/>
      <c r="M4" s="946"/>
      <c r="N4" s="946"/>
      <c r="O4" s="947"/>
    </row>
    <row r="5" spans="1:15" ht="15" thickTop="1">
      <c r="A5" s="479"/>
      <c r="B5" s="342"/>
      <c r="C5" s="544"/>
      <c r="D5" s="545"/>
      <c r="E5" s="540"/>
      <c r="F5" s="337"/>
      <c r="G5" s="350">
        <v>4</v>
      </c>
      <c r="H5" s="328" t="s">
        <v>253</v>
      </c>
      <c r="I5" s="350">
        <v>4</v>
      </c>
      <c r="J5" s="328" t="s">
        <v>256</v>
      </c>
      <c r="K5" s="350">
        <v>4</v>
      </c>
      <c r="L5" s="328" t="s">
        <v>251</v>
      </c>
      <c r="M5" s="350">
        <v>4</v>
      </c>
      <c r="N5" s="328" t="s">
        <v>258</v>
      </c>
      <c r="O5" s="332"/>
    </row>
    <row r="6" spans="1:15">
      <c r="A6" s="349"/>
      <c r="B6" s="328"/>
      <c r="C6" s="545"/>
      <c r="D6" s="545"/>
      <c r="E6" s="540"/>
      <c r="F6" s="337"/>
      <c r="G6" s="350">
        <v>4</v>
      </c>
      <c r="H6" s="328" t="s">
        <v>254</v>
      </c>
      <c r="I6" s="350">
        <v>5</v>
      </c>
      <c r="J6" s="328" t="s">
        <v>249</v>
      </c>
      <c r="K6" s="350">
        <v>5</v>
      </c>
      <c r="L6" s="328" t="s">
        <v>257</v>
      </c>
      <c r="M6" s="350">
        <v>5</v>
      </c>
      <c r="N6" s="328" t="s">
        <v>259</v>
      </c>
      <c r="O6" s="332"/>
    </row>
    <row r="7" spans="1:15">
      <c r="A7" s="352" t="s">
        <v>247</v>
      </c>
      <c r="B7" s="353" t="s">
        <v>248</v>
      </c>
      <c r="C7" s="546">
        <v>52</v>
      </c>
      <c r="D7" s="546">
        <v>52</v>
      </c>
      <c r="E7" s="541">
        <f>+SUM(G5:G7)+SUM(I5:I7)+SUM(K5:K7)+SUM(M5:M7)</f>
        <v>52</v>
      </c>
      <c r="F7" s="499"/>
      <c r="G7" s="354">
        <v>5</v>
      </c>
      <c r="H7" s="353" t="s">
        <v>255</v>
      </c>
      <c r="I7" s="354">
        <v>4</v>
      </c>
      <c r="J7" s="353" t="s">
        <v>250</v>
      </c>
      <c r="K7" s="354">
        <v>4</v>
      </c>
      <c r="L7" s="353" t="s">
        <v>252</v>
      </c>
      <c r="M7" s="354">
        <v>4</v>
      </c>
      <c r="N7" s="353" t="s">
        <v>260</v>
      </c>
      <c r="O7" s="355"/>
    </row>
    <row r="8" spans="1:15">
      <c r="A8" s="356"/>
      <c r="B8" s="357" t="s">
        <v>261</v>
      </c>
      <c r="C8" s="542">
        <v>4</v>
      </c>
      <c r="D8" s="542">
        <v>4</v>
      </c>
      <c r="E8" s="542">
        <v>4</v>
      </c>
      <c r="F8" s="500"/>
      <c r="G8" s="357" t="s">
        <v>333</v>
      </c>
      <c r="H8" s="357"/>
      <c r="I8" s="357"/>
      <c r="J8" s="357"/>
      <c r="K8" s="357"/>
      <c r="L8" s="357"/>
      <c r="M8" s="357"/>
      <c r="N8" s="357"/>
      <c r="O8" s="358"/>
    </row>
    <row r="9" spans="1:15">
      <c r="A9" s="356"/>
      <c r="B9" s="357" t="s">
        <v>262</v>
      </c>
      <c r="C9" s="542">
        <v>6</v>
      </c>
      <c r="D9" s="542">
        <v>7</v>
      </c>
      <c r="E9" s="542">
        <v>7</v>
      </c>
      <c r="F9" s="500"/>
      <c r="G9" s="357" t="s">
        <v>334</v>
      </c>
      <c r="H9" s="357"/>
      <c r="I9" s="357"/>
      <c r="J9" s="357"/>
      <c r="K9" s="357"/>
      <c r="L9" s="357"/>
      <c r="M9" s="357"/>
      <c r="N9" s="357"/>
      <c r="O9" s="358"/>
    </row>
    <row r="10" spans="1:15">
      <c r="A10" s="356"/>
      <c r="B10" s="357" t="s">
        <v>337</v>
      </c>
      <c r="C10" s="542">
        <v>1</v>
      </c>
      <c r="D10" s="542">
        <v>1</v>
      </c>
      <c r="E10" s="542">
        <v>1</v>
      </c>
      <c r="F10" s="500"/>
      <c r="G10" s="357" t="s">
        <v>336</v>
      </c>
      <c r="H10" s="357"/>
      <c r="I10" s="357"/>
      <c r="J10" s="357"/>
      <c r="K10" s="357"/>
      <c r="L10" s="357"/>
      <c r="M10" s="357"/>
      <c r="N10" s="357"/>
      <c r="O10" s="358"/>
    </row>
    <row r="11" spans="1:15" ht="15" thickBot="1">
      <c r="A11" s="351"/>
      <c r="B11" s="338" t="s">
        <v>263</v>
      </c>
      <c r="C11" s="543">
        <v>15</v>
      </c>
      <c r="D11" s="543">
        <v>15</v>
      </c>
      <c r="E11" s="543">
        <v>15</v>
      </c>
      <c r="F11" s="501"/>
      <c r="G11" s="338" t="s">
        <v>335</v>
      </c>
      <c r="H11" s="338"/>
      <c r="I11" s="338"/>
      <c r="J11" s="338"/>
      <c r="K11" s="338"/>
      <c r="L11" s="338"/>
      <c r="M11" s="338"/>
      <c r="N11" s="338"/>
      <c r="O11" s="339"/>
    </row>
    <row r="12" spans="1:15" ht="16.5" customHeight="1" thickTop="1" thickBot="1">
      <c r="A12" s="359"/>
    </row>
    <row r="13" spans="1:15" ht="49" customHeight="1" thickTop="1" thickBot="1">
      <c r="A13" s="535" t="s">
        <v>240</v>
      </c>
      <c r="B13" s="531"/>
      <c r="C13" s="547">
        <v>3000</v>
      </c>
      <c r="D13" s="547">
        <v>3060</v>
      </c>
      <c r="E13" s="548">
        <f>ROUND(+D13*(1+'New Year-Full Year'!F106),0)</f>
        <v>3091</v>
      </c>
      <c r="F13" s="523"/>
      <c r="G13" s="948" t="s">
        <v>426</v>
      </c>
      <c r="H13" s="948"/>
      <c r="I13" s="948"/>
      <c r="J13" s="948"/>
      <c r="K13" s="948"/>
      <c r="L13" s="948"/>
      <c r="M13" s="948"/>
      <c r="N13" s="948"/>
      <c r="O13" s="949"/>
    </row>
    <row r="14" spans="1:15" ht="15.5" thickTop="1" thickBot="1">
      <c r="A14" s="930" t="s">
        <v>271</v>
      </c>
      <c r="B14" s="931"/>
      <c r="C14" s="931"/>
      <c r="D14" s="931"/>
      <c r="E14" s="931"/>
      <c r="F14" s="931"/>
      <c r="G14" s="931"/>
      <c r="H14" s="931"/>
      <c r="I14" s="931"/>
      <c r="J14" s="931"/>
      <c r="K14" s="931"/>
      <c r="L14" s="931"/>
      <c r="M14" s="931"/>
      <c r="N14" s="931"/>
      <c r="O14" s="943"/>
    </row>
    <row r="15" spans="1:15" ht="15" customHeight="1" thickTop="1">
      <c r="A15" s="932" t="s">
        <v>273</v>
      </c>
      <c r="B15" s="341" t="s">
        <v>278</v>
      </c>
      <c r="C15" s="549">
        <v>37</v>
      </c>
      <c r="D15" s="549">
        <v>37</v>
      </c>
      <c r="E15" s="550">
        <f>+E7-E11</f>
        <v>37</v>
      </c>
      <c r="F15" s="502"/>
      <c r="G15" s="950" t="s">
        <v>300</v>
      </c>
      <c r="H15" s="950"/>
      <c r="I15" s="950"/>
      <c r="J15" s="950"/>
      <c r="K15" s="950"/>
      <c r="L15" s="950"/>
      <c r="M15" s="950"/>
      <c r="N15" s="950"/>
      <c r="O15" s="951"/>
    </row>
    <row r="16" spans="1:15">
      <c r="A16" s="933"/>
      <c r="B16" s="327" t="s">
        <v>277</v>
      </c>
      <c r="C16" s="551">
        <v>1</v>
      </c>
      <c r="D16" s="551">
        <v>1</v>
      </c>
      <c r="E16" s="551">
        <v>1</v>
      </c>
      <c r="F16" s="503"/>
      <c r="G16" s="952"/>
      <c r="H16" s="952"/>
      <c r="I16" s="952"/>
      <c r="J16" s="952"/>
      <c r="K16" s="952"/>
      <c r="L16" s="952"/>
      <c r="M16" s="952"/>
      <c r="N16" s="952"/>
      <c r="O16" s="953"/>
    </row>
    <row r="17" spans="1:16">
      <c r="A17" s="933"/>
      <c r="B17" s="333" t="s">
        <v>275</v>
      </c>
      <c r="C17" s="552">
        <f>+C15*C16</f>
        <v>37</v>
      </c>
      <c r="D17" s="552">
        <f>+D15*D16</f>
        <v>37</v>
      </c>
      <c r="E17" s="552">
        <f>+E15*E16</f>
        <v>37</v>
      </c>
      <c r="F17" s="504"/>
      <c r="G17" s="334"/>
      <c r="H17" s="334"/>
      <c r="I17" s="345"/>
      <c r="J17" s="334"/>
      <c r="K17" s="345"/>
      <c r="L17" s="334"/>
      <c r="M17" s="345"/>
      <c r="N17" s="334"/>
      <c r="O17" s="336"/>
    </row>
    <row r="18" spans="1:16">
      <c r="A18" s="934"/>
      <c r="B18" s="330" t="s">
        <v>246</v>
      </c>
      <c r="C18" s="553"/>
      <c r="D18" s="553"/>
      <c r="E18" s="553"/>
      <c r="F18" s="505"/>
      <c r="G18" s="158"/>
      <c r="H18" s="158"/>
      <c r="I18" s="216"/>
      <c r="J18" s="158"/>
      <c r="K18" s="216"/>
      <c r="L18" s="158"/>
      <c r="M18" s="216"/>
      <c r="N18" s="158"/>
      <c r="O18" s="331"/>
    </row>
    <row r="19" spans="1:16">
      <c r="A19" s="934"/>
      <c r="B19" s="327" t="s">
        <v>244</v>
      </c>
      <c r="C19" s="551">
        <v>0</v>
      </c>
      <c r="D19" s="551">
        <v>0</v>
      </c>
      <c r="E19" s="551">
        <v>0</v>
      </c>
      <c r="F19" s="503"/>
      <c r="G19" s="328" t="s">
        <v>264</v>
      </c>
      <c r="H19" s="195"/>
      <c r="J19" s="328"/>
      <c r="K19" s="195"/>
      <c r="L19" s="328"/>
      <c r="M19" s="195"/>
      <c r="N19" s="328"/>
      <c r="O19" s="332"/>
    </row>
    <row r="20" spans="1:16">
      <c r="A20" s="934"/>
      <c r="B20" s="333" t="s">
        <v>245</v>
      </c>
      <c r="C20" s="552">
        <f>+C9</f>
        <v>6</v>
      </c>
      <c r="D20" s="552">
        <f>+D9</f>
        <v>7</v>
      </c>
      <c r="E20" s="552">
        <f>+E9</f>
        <v>7</v>
      </c>
      <c r="F20" s="504"/>
      <c r="G20" s="334" t="s">
        <v>265</v>
      </c>
      <c r="I20" s="335"/>
      <c r="J20" s="334"/>
      <c r="K20" s="335"/>
      <c r="L20" s="334"/>
      <c r="M20" s="335"/>
      <c r="N20" s="334"/>
      <c r="O20" s="336"/>
    </row>
    <row r="21" spans="1:16">
      <c r="A21" s="934"/>
      <c r="B21" s="330" t="s">
        <v>243</v>
      </c>
      <c r="C21" s="554">
        <f>SUM(C17:C20)</f>
        <v>43</v>
      </c>
      <c r="D21" s="554">
        <f>SUM(D17:D20)</f>
        <v>44</v>
      </c>
      <c r="E21" s="554">
        <f>SUM(E17:E20)</f>
        <v>44</v>
      </c>
      <c r="F21" s="506"/>
      <c r="G21" s="158"/>
      <c r="H21" s="158"/>
      <c r="I21" s="216"/>
      <c r="J21" s="158"/>
      <c r="K21" s="216"/>
      <c r="L21" s="158"/>
      <c r="M21" s="216"/>
      <c r="N21" s="158"/>
      <c r="O21" s="331"/>
    </row>
    <row r="22" spans="1:16">
      <c r="A22" s="934"/>
      <c r="B22" s="327" t="s">
        <v>279</v>
      </c>
      <c r="C22" s="555">
        <f>C15</f>
        <v>37</v>
      </c>
      <c r="D22" s="555">
        <f>D15</f>
        <v>37</v>
      </c>
      <c r="E22" s="555">
        <f>E15</f>
        <v>37</v>
      </c>
      <c r="F22" s="507"/>
      <c r="G22" s="328" t="s">
        <v>276</v>
      </c>
      <c r="I22" s="195"/>
      <c r="J22" s="328"/>
      <c r="K22" s="195"/>
      <c r="L22" s="328"/>
      <c r="M22" s="195"/>
      <c r="N22" s="328"/>
      <c r="O22" s="332"/>
    </row>
    <row r="23" spans="1:16">
      <c r="A23" s="934"/>
      <c r="B23" s="333" t="s">
        <v>274</v>
      </c>
      <c r="C23" s="556">
        <f>+C21+C22</f>
        <v>80</v>
      </c>
      <c r="D23" s="556">
        <f>+D21+D22</f>
        <v>81</v>
      </c>
      <c r="E23" s="556">
        <f>+E21+E22</f>
        <v>81</v>
      </c>
      <c r="F23" s="508"/>
      <c r="G23" s="334"/>
      <c r="H23" s="334"/>
      <c r="I23" s="335"/>
      <c r="J23" s="334"/>
      <c r="K23" s="335"/>
      <c r="L23" s="334"/>
      <c r="M23" s="335"/>
      <c r="N23" s="334"/>
      <c r="O23" s="336"/>
    </row>
    <row r="24" spans="1:16">
      <c r="A24" s="935" t="s">
        <v>268</v>
      </c>
      <c r="B24" s="158" t="s">
        <v>285</v>
      </c>
      <c r="C24" s="553">
        <v>6</v>
      </c>
      <c r="D24" s="553">
        <v>6</v>
      </c>
      <c r="E24" s="553">
        <v>6</v>
      </c>
      <c r="F24" s="505"/>
      <c r="G24" s="158"/>
      <c r="H24" s="158"/>
      <c r="I24" s="216"/>
      <c r="J24" s="158"/>
      <c r="K24" s="216"/>
      <c r="L24" s="158"/>
      <c r="M24" s="216"/>
      <c r="N24" s="158"/>
      <c r="O24" s="331"/>
    </row>
    <row r="25" spans="1:16">
      <c r="A25" s="936"/>
      <c r="B25" s="328" t="s">
        <v>338</v>
      </c>
      <c r="C25" s="551">
        <v>0</v>
      </c>
      <c r="D25" s="551">
        <v>3</v>
      </c>
      <c r="E25" s="551">
        <v>3</v>
      </c>
      <c r="F25" s="503"/>
      <c r="G25" s="328" t="s">
        <v>339</v>
      </c>
      <c r="I25" s="195"/>
      <c r="J25" s="328"/>
      <c r="K25" s="195"/>
      <c r="L25" s="328"/>
      <c r="M25" s="195"/>
      <c r="N25" s="328"/>
      <c r="O25" s="332"/>
    </row>
    <row r="26" spans="1:16">
      <c r="A26" s="936"/>
      <c r="B26" s="328" t="s">
        <v>267</v>
      </c>
      <c r="C26" s="557">
        <v>25</v>
      </c>
      <c r="D26" s="557">
        <v>25</v>
      </c>
      <c r="E26" s="557">
        <v>25</v>
      </c>
      <c r="F26" s="509"/>
      <c r="G26" s="328"/>
      <c r="H26" s="328"/>
      <c r="I26" s="195"/>
      <c r="J26" s="328"/>
      <c r="K26" s="195"/>
      <c r="L26" s="328"/>
      <c r="M26" s="195"/>
      <c r="N26" s="328"/>
      <c r="O26" s="332"/>
      <c r="P26" s="151"/>
    </row>
    <row r="27" spans="1:16">
      <c r="A27" s="937"/>
      <c r="B27" s="334" t="s">
        <v>371</v>
      </c>
      <c r="C27" s="558">
        <v>30</v>
      </c>
      <c r="D27" s="558">
        <v>30</v>
      </c>
      <c r="E27" s="558">
        <v>30</v>
      </c>
      <c r="F27" s="510"/>
      <c r="G27" s="334"/>
      <c r="H27" s="334"/>
      <c r="I27" s="335"/>
      <c r="J27" s="334"/>
      <c r="K27" s="335"/>
      <c r="L27" s="334"/>
      <c r="M27" s="335"/>
      <c r="N27" s="334"/>
      <c r="O27" s="336"/>
    </row>
    <row r="28" spans="1:16">
      <c r="A28" s="935" t="s">
        <v>270</v>
      </c>
      <c r="B28" s="158" t="s">
        <v>266</v>
      </c>
      <c r="C28" s="559">
        <f>+C22*C24*C26</f>
        <v>5550</v>
      </c>
      <c r="D28" s="559">
        <f>(+D22*D24*D26)+(D25*2*D26)</f>
        <v>5700</v>
      </c>
      <c r="E28" s="559">
        <f>(+E22*E24*E26)+(E25*2*E26)</f>
        <v>5700</v>
      </c>
      <c r="F28" s="511"/>
      <c r="G28" s="158"/>
      <c r="H28" s="158"/>
      <c r="I28" s="216"/>
      <c r="J28" s="158"/>
      <c r="K28" s="216"/>
      <c r="L28" s="158"/>
      <c r="M28" s="216"/>
      <c r="N28" s="158"/>
      <c r="O28" s="331"/>
    </row>
    <row r="29" spans="1:16">
      <c r="A29" s="936"/>
      <c r="B29" s="328" t="s">
        <v>269</v>
      </c>
      <c r="C29" s="560">
        <f>+C21*C24*C27</f>
        <v>7740</v>
      </c>
      <c r="D29" s="560">
        <f>(+D21*D24*D27)+(D25*2*D27)</f>
        <v>8100</v>
      </c>
      <c r="E29" s="560">
        <f>(+E21*E24*E27)+(E25*2*E27)</f>
        <v>8100</v>
      </c>
      <c r="F29" s="512"/>
      <c r="G29" s="328"/>
      <c r="H29" s="328"/>
      <c r="I29" s="195"/>
      <c r="J29" s="337"/>
      <c r="K29" s="195"/>
      <c r="L29" s="328"/>
      <c r="M29" s="195"/>
      <c r="N29" s="328"/>
      <c r="O29" s="332"/>
    </row>
    <row r="30" spans="1:16" ht="15" thickBot="1">
      <c r="A30" s="938"/>
      <c r="B30" s="536" t="s">
        <v>280</v>
      </c>
      <c r="C30" s="561">
        <f>+C28+C29</f>
        <v>13290</v>
      </c>
      <c r="D30" s="561">
        <f>+D28+D29</f>
        <v>13800</v>
      </c>
      <c r="E30" s="562">
        <f>+E28+E29</f>
        <v>13800</v>
      </c>
      <c r="F30" s="524"/>
      <c r="G30" s="483"/>
      <c r="H30" s="483"/>
      <c r="I30" s="483"/>
      <c r="J30" s="483"/>
      <c r="K30" s="483"/>
      <c r="L30" s="483"/>
      <c r="M30" s="483"/>
      <c r="N30" s="483"/>
      <c r="O30" s="525"/>
    </row>
    <row r="31" spans="1:16" ht="15.5" thickTop="1" thickBot="1">
      <c r="A31" s="930" t="s">
        <v>272</v>
      </c>
      <c r="B31" s="931"/>
      <c r="C31" s="931"/>
      <c r="D31" s="931"/>
      <c r="E31" s="931"/>
      <c r="F31" s="931"/>
      <c r="G31" s="931"/>
      <c r="H31" s="931"/>
      <c r="I31" s="931"/>
      <c r="J31" s="931"/>
      <c r="K31" s="931"/>
      <c r="L31" s="931"/>
      <c r="M31" s="931"/>
      <c r="N31" s="931"/>
      <c r="O31" s="943"/>
    </row>
    <row r="32" spans="1:16" ht="15" customHeight="1" thickTop="1">
      <c r="A32" s="939" t="s">
        <v>273</v>
      </c>
      <c r="B32" s="342" t="s">
        <v>278</v>
      </c>
      <c r="C32" s="563">
        <v>52</v>
      </c>
      <c r="D32" s="563">
        <v>52</v>
      </c>
      <c r="E32" s="563">
        <f>+E7</f>
        <v>52</v>
      </c>
      <c r="F32" s="513"/>
      <c r="G32" s="342"/>
      <c r="H32" s="342"/>
      <c r="I32" s="343"/>
      <c r="J32" s="342"/>
      <c r="K32" s="343"/>
      <c r="L32" s="342"/>
      <c r="M32" s="343"/>
      <c r="N32" s="342"/>
      <c r="O32" s="344"/>
    </row>
    <row r="33" spans="1:15">
      <c r="A33" s="940"/>
      <c r="B33" s="328" t="s">
        <v>277</v>
      </c>
      <c r="C33" s="564">
        <v>2</v>
      </c>
      <c r="D33" s="564">
        <v>2</v>
      </c>
      <c r="E33" s="564">
        <v>2</v>
      </c>
      <c r="F33" s="514"/>
      <c r="G33" s="328"/>
      <c r="H33" s="328"/>
      <c r="I33" s="195"/>
      <c r="J33" s="328"/>
      <c r="K33" s="195"/>
      <c r="L33" s="328"/>
      <c r="M33" s="195"/>
      <c r="N33" s="328"/>
      <c r="O33" s="332"/>
    </row>
    <row r="34" spans="1:15">
      <c r="A34" s="940"/>
      <c r="B34" s="334" t="s">
        <v>275</v>
      </c>
      <c r="C34" s="565">
        <f>+C32*C33</f>
        <v>104</v>
      </c>
      <c r="D34" s="565">
        <f>+D32*D33</f>
        <v>104</v>
      </c>
      <c r="E34" s="565">
        <f>+E32*E33</f>
        <v>104</v>
      </c>
      <c r="F34" s="515"/>
      <c r="G34" s="334"/>
      <c r="H34" s="334"/>
      <c r="I34" s="335"/>
      <c r="J34" s="334"/>
      <c r="K34" s="335"/>
      <c r="L34" s="334"/>
      <c r="M34" s="335"/>
      <c r="N34" s="334"/>
      <c r="O34" s="336"/>
    </row>
    <row r="35" spans="1:15">
      <c r="A35" s="940"/>
      <c r="B35" s="158" t="s">
        <v>246</v>
      </c>
      <c r="C35" s="566"/>
      <c r="D35" s="566"/>
      <c r="E35" s="566"/>
      <c r="F35" s="516"/>
      <c r="G35" s="158"/>
      <c r="H35" s="158"/>
      <c r="I35" s="216"/>
      <c r="J35" s="158"/>
      <c r="K35" s="216"/>
      <c r="L35" s="158"/>
      <c r="M35" s="216"/>
      <c r="N35" s="158"/>
      <c r="O35" s="331"/>
    </row>
    <row r="36" spans="1:15">
      <c r="A36" s="940"/>
      <c r="B36" s="328" t="s">
        <v>281</v>
      </c>
      <c r="C36" s="567">
        <f t="shared" ref="C36:E37" si="0">+C8</f>
        <v>4</v>
      </c>
      <c r="D36" s="567">
        <f t="shared" si="0"/>
        <v>4</v>
      </c>
      <c r="E36" s="567">
        <f t="shared" si="0"/>
        <v>4</v>
      </c>
      <c r="F36" s="517"/>
      <c r="G36" s="328"/>
      <c r="H36" s="328"/>
      <c r="I36" s="195"/>
      <c r="J36" s="328"/>
      <c r="K36" s="195"/>
      <c r="L36" s="328"/>
      <c r="M36" s="195"/>
      <c r="N36" s="328"/>
      <c r="O36" s="332"/>
    </row>
    <row r="37" spans="1:15">
      <c r="A37" s="940"/>
      <c r="B37" s="328" t="s">
        <v>282</v>
      </c>
      <c r="C37" s="567">
        <f t="shared" si="0"/>
        <v>6</v>
      </c>
      <c r="D37" s="567">
        <f t="shared" si="0"/>
        <v>7</v>
      </c>
      <c r="E37" s="567">
        <f t="shared" si="0"/>
        <v>7</v>
      </c>
      <c r="F37" s="517"/>
      <c r="G37" s="328"/>
      <c r="H37" s="328"/>
      <c r="I37" s="195"/>
      <c r="J37" s="328"/>
      <c r="K37" s="195"/>
      <c r="L37" s="328"/>
      <c r="M37" s="195"/>
      <c r="N37" s="328"/>
      <c r="O37" s="332"/>
    </row>
    <row r="38" spans="1:15">
      <c r="A38" s="940"/>
      <c r="B38" s="195" t="s">
        <v>283</v>
      </c>
      <c r="C38" s="568">
        <v>20</v>
      </c>
      <c r="D38" s="568">
        <v>20</v>
      </c>
      <c r="E38" s="568">
        <v>20</v>
      </c>
      <c r="F38" s="518"/>
      <c r="G38" s="195" t="s">
        <v>301</v>
      </c>
      <c r="I38" s="195"/>
      <c r="J38" s="195"/>
      <c r="K38" s="195"/>
      <c r="L38" s="195"/>
      <c r="M38" s="195"/>
      <c r="N38" s="195"/>
      <c r="O38" s="347"/>
    </row>
    <row r="39" spans="1:15">
      <c r="A39" s="941"/>
      <c r="B39" s="335" t="s">
        <v>284</v>
      </c>
      <c r="C39" s="569">
        <f>SUM(C34:C38)</f>
        <v>134</v>
      </c>
      <c r="D39" s="569">
        <f>SUM(D34:D38)</f>
        <v>135</v>
      </c>
      <c r="E39" s="569">
        <f>SUM(E34:E38)</f>
        <v>135</v>
      </c>
      <c r="F39" s="335"/>
      <c r="G39" s="335"/>
      <c r="H39" s="335"/>
      <c r="I39" s="335"/>
      <c r="J39" s="335"/>
      <c r="K39" s="335"/>
      <c r="L39" s="335"/>
      <c r="M39" s="335"/>
      <c r="N39" s="335"/>
      <c r="O39" s="346"/>
    </row>
    <row r="40" spans="1:15">
      <c r="A40" s="929" t="s">
        <v>288</v>
      </c>
      <c r="B40" s="158" t="s">
        <v>287</v>
      </c>
      <c r="C40" s="570">
        <v>1</v>
      </c>
      <c r="D40" s="570">
        <v>1</v>
      </c>
      <c r="E40" s="570">
        <v>1</v>
      </c>
      <c r="F40" s="168"/>
      <c r="G40" s="158"/>
      <c r="H40" s="158"/>
      <c r="I40" s="216"/>
      <c r="J40" s="158"/>
      <c r="K40" s="216"/>
      <c r="L40" s="158"/>
      <c r="M40" s="216"/>
      <c r="N40" s="158"/>
      <c r="O40" s="331"/>
    </row>
    <row r="41" spans="1:15">
      <c r="A41" s="928"/>
      <c r="B41" s="334" t="s">
        <v>286</v>
      </c>
      <c r="C41" s="571">
        <v>25</v>
      </c>
      <c r="D41" s="571">
        <v>25</v>
      </c>
      <c r="E41" s="571">
        <v>25</v>
      </c>
      <c r="F41" s="519"/>
      <c r="G41" s="334"/>
      <c r="H41" s="334"/>
      <c r="I41" s="335"/>
      <c r="J41" s="334"/>
      <c r="K41" s="335"/>
      <c r="L41" s="334"/>
      <c r="M41" s="335"/>
      <c r="N41" s="334"/>
      <c r="O41" s="336"/>
    </row>
    <row r="42" spans="1:15" ht="29" customHeight="1" thickBot="1">
      <c r="A42" s="348" t="s">
        <v>270</v>
      </c>
      <c r="B42" s="537" t="s">
        <v>241</v>
      </c>
      <c r="C42" s="572">
        <f>+C39*C40*C41</f>
        <v>3350</v>
      </c>
      <c r="D42" s="572">
        <f>+D39*D40*D41</f>
        <v>3375</v>
      </c>
      <c r="E42" s="573">
        <f>+E39*E40*E41</f>
        <v>3375</v>
      </c>
      <c r="F42" s="527"/>
      <c r="G42" s="526"/>
      <c r="H42" s="944"/>
      <c r="I42" s="944"/>
      <c r="J42" s="944"/>
      <c r="K42" s="944"/>
      <c r="L42" s="944"/>
      <c r="M42" s="944"/>
      <c r="N42" s="944"/>
      <c r="O42" s="945"/>
    </row>
    <row r="43" spans="1:15" ht="15.5" thickTop="1" thickBot="1">
      <c r="A43" s="930" t="s">
        <v>303</v>
      </c>
      <c r="B43" s="931"/>
      <c r="C43" s="931"/>
      <c r="D43" s="931"/>
      <c r="E43" s="931"/>
      <c r="F43" s="931"/>
      <c r="G43" s="931"/>
      <c r="H43" s="931"/>
      <c r="I43" s="931"/>
      <c r="J43" s="931"/>
      <c r="K43" s="931"/>
      <c r="L43" s="931"/>
      <c r="M43" s="931"/>
      <c r="N43" s="931"/>
      <c r="O43" s="943"/>
    </row>
    <row r="44" spans="1:15" ht="15" customHeight="1" thickTop="1">
      <c r="A44" s="926" t="s">
        <v>273</v>
      </c>
      <c r="B44" s="342" t="s">
        <v>278</v>
      </c>
      <c r="C44" s="563">
        <f>+C11</f>
        <v>15</v>
      </c>
      <c r="D44" s="563">
        <f>+D11</f>
        <v>15</v>
      </c>
      <c r="E44" s="563">
        <f>+E11</f>
        <v>15</v>
      </c>
      <c r="F44" s="513"/>
      <c r="G44" s="950" t="str">
        <f>+G11</f>
        <v>Memorial Day (May 25) - Labor Day (Sept 7)</v>
      </c>
      <c r="H44" s="950"/>
      <c r="I44" s="950"/>
      <c r="J44" s="950"/>
      <c r="K44" s="950"/>
      <c r="L44" s="950"/>
      <c r="M44" s="950"/>
      <c r="N44" s="950"/>
      <c r="O44" s="951"/>
    </row>
    <row r="45" spans="1:15">
      <c r="A45" s="927"/>
      <c r="B45" s="328" t="s">
        <v>277</v>
      </c>
      <c r="C45" s="564">
        <v>1</v>
      </c>
      <c r="D45" s="564">
        <v>1</v>
      </c>
      <c r="E45" s="564">
        <v>1</v>
      </c>
      <c r="F45" s="514"/>
      <c r="G45" s="952"/>
      <c r="H45" s="952"/>
      <c r="I45" s="952"/>
      <c r="J45" s="952"/>
      <c r="K45" s="952"/>
      <c r="L45" s="952"/>
      <c r="M45" s="952"/>
      <c r="N45" s="952"/>
      <c r="O45" s="953"/>
    </row>
    <row r="46" spans="1:15">
      <c r="A46" s="928"/>
      <c r="B46" s="334" t="s">
        <v>275</v>
      </c>
      <c r="C46" s="565">
        <f>+C44*C45</f>
        <v>15</v>
      </c>
      <c r="D46" s="565">
        <f>+D44*D45</f>
        <v>15</v>
      </c>
      <c r="E46" s="565">
        <f>+E44*E45</f>
        <v>15</v>
      </c>
      <c r="F46" s="515"/>
      <c r="G46" s="334"/>
      <c r="H46" s="334"/>
      <c r="I46" s="335"/>
      <c r="J46" s="334"/>
      <c r="K46" s="335"/>
      <c r="L46" s="334"/>
      <c r="M46" s="335"/>
      <c r="N46" s="334"/>
      <c r="O46" s="336"/>
    </row>
    <row r="47" spans="1:15">
      <c r="A47" s="929" t="s">
        <v>288</v>
      </c>
      <c r="B47" s="158" t="s">
        <v>289</v>
      </c>
      <c r="C47" s="570">
        <v>3</v>
      </c>
      <c r="D47" s="570">
        <v>3</v>
      </c>
      <c r="E47" s="570">
        <v>3</v>
      </c>
      <c r="F47" s="168"/>
      <c r="G47" s="158" t="s">
        <v>290</v>
      </c>
      <c r="I47" s="216"/>
      <c r="J47" s="158"/>
      <c r="K47" s="216"/>
      <c r="L47" s="158"/>
      <c r="M47" s="216"/>
      <c r="N47" s="158"/>
      <c r="O47" s="331"/>
    </row>
    <row r="48" spans="1:15">
      <c r="A48" s="928"/>
      <c r="B48" s="334" t="s">
        <v>291</v>
      </c>
      <c r="C48" s="571">
        <v>50</v>
      </c>
      <c r="D48" s="571">
        <v>50</v>
      </c>
      <c r="E48" s="571">
        <v>50</v>
      </c>
      <c r="F48" s="519"/>
      <c r="G48" s="334"/>
      <c r="H48" s="334"/>
      <c r="I48" s="335"/>
      <c r="J48" s="334"/>
      <c r="K48" s="335"/>
      <c r="L48" s="334"/>
      <c r="M48" s="335"/>
      <c r="N48" s="334"/>
      <c r="O48" s="336"/>
    </row>
    <row r="49" spans="1:16" ht="15" thickBot="1">
      <c r="A49" s="362" t="s">
        <v>270</v>
      </c>
      <c r="B49" s="360" t="s">
        <v>295</v>
      </c>
      <c r="C49" s="574">
        <f>+C46*C47*C48</f>
        <v>2250</v>
      </c>
      <c r="D49" s="574">
        <f>+D46*D47*D48</f>
        <v>2250</v>
      </c>
      <c r="E49" s="574">
        <f>+E46*E47*E48</f>
        <v>2250</v>
      </c>
      <c r="F49" s="520"/>
      <c r="G49" s="216"/>
      <c r="H49" s="216"/>
      <c r="I49" s="216"/>
      <c r="J49" s="216"/>
      <c r="K49" s="216"/>
      <c r="L49" s="216"/>
      <c r="M49" s="216"/>
      <c r="N49" s="216"/>
      <c r="O49" s="361"/>
    </row>
    <row r="50" spans="1:16" ht="15" customHeight="1">
      <c r="A50" s="942" t="s">
        <v>288</v>
      </c>
      <c r="B50" s="363" t="s">
        <v>297</v>
      </c>
      <c r="C50" s="575">
        <v>2</v>
      </c>
      <c r="D50" s="575">
        <v>2</v>
      </c>
      <c r="E50" s="575">
        <v>2</v>
      </c>
      <c r="F50" s="521"/>
      <c r="G50" s="363" t="s">
        <v>290</v>
      </c>
      <c r="H50" s="363"/>
      <c r="I50" s="364"/>
      <c r="J50" s="363"/>
      <c r="K50" s="364"/>
      <c r="L50" s="363"/>
      <c r="M50" s="364"/>
      <c r="N50" s="363"/>
      <c r="O50" s="365"/>
    </row>
    <row r="51" spans="1:16" ht="15" customHeight="1">
      <c r="A51" s="928"/>
      <c r="B51" s="334" t="s">
        <v>296</v>
      </c>
      <c r="C51" s="571">
        <v>25</v>
      </c>
      <c r="D51" s="571">
        <v>25</v>
      </c>
      <c r="E51" s="571">
        <v>25</v>
      </c>
      <c r="F51" s="519"/>
      <c r="G51" s="334"/>
      <c r="H51" s="334"/>
      <c r="I51" s="335"/>
      <c r="J51" s="334"/>
      <c r="K51" s="335"/>
      <c r="L51" s="334"/>
      <c r="M51" s="335"/>
      <c r="N51" s="334"/>
      <c r="O51" s="336"/>
    </row>
    <row r="52" spans="1:16" ht="15" thickBot="1">
      <c r="A52" s="366" t="s">
        <v>270</v>
      </c>
      <c r="B52" s="367" t="s">
        <v>298</v>
      </c>
      <c r="C52" s="576">
        <f>+C44*C50*C51</f>
        <v>750</v>
      </c>
      <c r="D52" s="576">
        <f>+D44*D50*D51</f>
        <v>750</v>
      </c>
      <c r="E52" s="576">
        <f>+E44*E50*E51</f>
        <v>750</v>
      </c>
      <c r="F52" s="522"/>
      <c r="G52" s="368"/>
      <c r="H52" s="368"/>
      <c r="I52" s="368"/>
      <c r="J52" s="368"/>
      <c r="K52" s="368"/>
      <c r="L52" s="368"/>
      <c r="M52" s="368"/>
      <c r="N52" s="368"/>
      <c r="O52" s="369"/>
    </row>
    <row r="53" spans="1:16" ht="15" thickBot="1">
      <c r="A53" s="348" t="s">
        <v>270</v>
      </c>
      <c r="B53" s="340" t="s">
        <v>299</v>
      </c>
      <c r="C53" s="577">
        <f>+C49+C52</f>
        <v>3000</v>
      </c>
      <c r="D53" s="577">
        <f>+D49+D52</f>
        <v>3000</v>
      </c>
      <c r="E53" s="578">
        <f>+E49+E52</f>
        <v>3000</v>
      </c>
      <c r="F53" s="528"/>
      <c r="G53" s="483"/>
      <c r="H53" s="483"/>
      <c r="I53" s="483"/>
      <c r="J53" s="483"/>
      <c r="K53" s="483"/>
      <c r="L53" s="483"/>
      <c r="M53" s="483"/>
      <c r="N53" s="483"/>
      <c r="O53" s="525"/>
    </row>
    <row r="54" spans="1:16" ht="15.5" thickTop="1" thickBot="1">
      <c r="A54" s="930" t="s">
        <v>242</v>
      </c>
      <c r="B54" s="931"/>
      <c r="C54" s="931"/>
      <c r="D54" s="931"/>
      <c r="E54" s="931"/>
      <c r="F54" s="931"/>
      <c r="G54" s="931"/>
      <c r="H54" s="931"/>
      <c r="I54" s="931"/>
      <c r="J54" s="931"/>
      <c r="K54" s="931"/>
      <c r="L54" s="931"/>
      <c r="M54" s="931"/>
      <c r="N54" s="931"/>
      <c r="O54" s="943"/>
    </row>
    <row r="55" spans="1:16" ht="15" customHeight="1" thickTop="1">
      <c r="A55" s="926" t="s">
        <v>273</v>
      </c>
      <c r="B55" s="342" t="s">
        <v>278</v>
      </c>
      <c r="C55" s="563">
        <f>+C15</f>
        <v>37</v>
      </c>
      <c r="D55" s="563">
        <f>+D15</f>
        <v>37</v>
      </c>
      <c r="E55" s="563">
        <f>+E15</f>
        <v>37</v>
      </c>
      <c r="F55" s="513"/>
      <c r="G55" s="342"/>
      <c r="H55" s="342" t="s">
        <v>293</v>
      </c>
      <c r="I55" s="343"/>
      <c r="J55" s="342"/>
      <c r="K55" s="343"/>
      <c r="L55" s="342"/>
      <c r="M55" s="343"/>
      <c r="N55" s="342"/>
      <c r="O55" s="344"/>
    </row>
    <row r="56" spans="1:16">
      <c r="A56" s="927"/>
      <c r="B56" s="328" t="s">
        <v>277</v>
      </c>
      <c r="C56" s="564">
        <v>1</v>
      </c>
      <c r="D56" s="564">
        <v>1</v>
      </c>
      <c r="E56" s="564">
        <v>1</v>
      </c>
      <c r="F56" s="514"/>
      <c r="G56" s="328"/>
      <c r="H56" s="328"/>
      <c r="I56" s="195"/>
      <c r="J56" s="328"/>
      <c r="K56" s="195"/>
      <c r="L56" s="328"/>
      <c r="M56" s="195"/>
      <c r="N56" s="328"/>
      <c r="O56" s="332"/>
    </row>
    <row r="57" spans="1:16">
      <c r="A57" s="928"/>
      <c r="B57" s="334" t="s">
        <v>275</v>
      </c>
      <c r="C57" s="565">
        <f>+C55*C56</f>
        <v>37</v>
      </c>
      <c r="D57" s="565">
        <f>+D55*D56</f>
        <v>37</v>
      </c>
      <c r="E57" s="565">
        <f>+E55*E56</f>
        <v>37</v>
      </c>
      <c r="F57" s="515"/>
      <c r="G57" s="334"/>
      <c r="H57" s="334"/>
      <c r="I57" s="335"/>
      <c r="J57" s="334"/>
      <c r="K57" s="335"/>
      <c r="L57" s="334"/>
      <c r="M57" s="335"/>
      <c r="N57" s="334"/>
      <c r="O57" s="336"/>
    </row>
    <row r="58" spans="1:16">
      <c r="A58" s="929" t="s">
        <v>288</v>
      </c>
      <c r="B58" s="158" t="s">
        <v>294</v>
      </c>
      <c r="C58" s="570">
        <v>1</v>
      </c>
      <c r="D58" s="570">
        <v>1</v>
      </c>
      <c r="E58" s="570">
        <v>1</v>
      </c>
      <c r="F58" s="168"/>
      <c r="G58" s="158"/>
      <c r="H58" s="158"/>
      <c r="I58" s="216"/>
      <c r="J58" s="158"/>
      <c r="K58" s="216"/>
      <c r="L58" s="158"/>
      <c r="M58" s="216"/>
      <c r="N58" s="158"/>
      <c r="O58" s="331"/>
    </row>
    <row r="59" spans="1:16">
      <c r="A59" s="928"/>
      <c r="B59" s="334" t="s">
        <v>291</v>
      </c>
      <c r="C59" s="571">
        <v>25</v>
      </c>
      <c r="D59" s="571">
        <v>25</v>
      </c>
      <c r="E59" s="571">
        <v>25</v>
      </c>
      <c r="F59" s="519"/>
      <c r="G59" s="334"/>
      <c r="H59" s="334"/>
      <c r="I59" s="335"/>
      <c r="J59" s="334"/>
      <c r="K59" s="335"/>
      <c r="L59" s="334"/>
      <c r="M59" s="335"/>
      <c r="N59" s="334"/>
      <c r="O59" s="336"/>
    </row>
    <row r="60" spans="1:16" ht="15" thickBot="1">
      <c r="A60" s="348" t="s">
        <v>270</v>
      </c>
      <c r="B60" s="537" t="s">
        <v>292</v>
      </c>
      <c r="C60" s="572">
        <f>+C57*C58*C59</f>
        <v>925</v>
      </c>
      <c r="D60" s="572">
        <f>+D57*D58*D59</f>
        <v>925</v>
      </c>
      <c r="E60" s="573">
        <f>+E57*E58*E59</f>
        <v>925</v>
      </c>
      <c r="F60" s="527"/>
      <c r="G60" s="526"/>
      <c r="H60" s="526"/>
      <c r="I60" s="526"/>
      <c r="J60" s="526"/>
      <c r="K60" s="526"/>
      <c r="L60" s="526"/>
      <c r="M60" s="526"/>
      <c r="N60" s="526"/>
      <c r="O60" s="529"/>
      <c r="P60" s="214"/>
    </row>
    <row r="61" spans="1:16" ht="15.5" thickTop="1" thickBot="1">
      <c r="C61" s="329"/>
      <c r="D61" s="329"/>
      <c r="E61" s="329"/>
      <c r="F61" s="530"/>
      <c r="G61" s="214"/>
      <c r="H61" s="214"/>
      <c r="I61" s="214"/>
      <c r="J61" s="214"/>
      <c r="K61" s="214"/>
      <c r="L61" s="214"/>
      <c r="M61" s="214"/>
      <c r="N61" s="214"/>
      <c r="O61" s="214"/>
      <c r="P61" s="214"/>
    </row>
    <row r="62" spans="1:16" ht="15.5" thickTop="1" thickBot="1">
      <c r="A62" s="930" t="s">
        <v>385</v>
      </c>
      <c r="B62" s="931"/>
      <c r="C62" s="579">
        <f>+C13+C30+C42+C53+C60</f>
        <v>23565</v>
      </c>
      <c r="D62" s="579">
        <f>+D13+D30+D42+D53+D60</f>
        <v>24160</v>
      </c>
      <c r="E62" s="580">
        <f>+E13+E30+E42+E53+E60</f>
        <v>24191</v>
      </c>
      <c r="F62" s="532"/>
      <c r="G62" s="195"/>
      <c r="H62" s="195"/>
      <c r="I62" s="195"/>
      <c r="J62" s="195"/>
      <c r="K62" s="195"/>
      <c r="L62" s="195"/>
      <c r="M62" s="195"/>
      <c r="N62" s="195"/>
      <c r="O62" s="195"/>
      <c r="P62" s="195"/>
    </row>
    <row r="63" spans="1:16" ht="15" thickTop="1">
      <c r="A63" s="922" t="s">
        <v>386</v>
      </c>
      <c r="B63" s="923"/>
      <c r="C63" s="481"/>
      <c r="D63" s="481"/>
      <c r="E63" s="482">
        <f>+E62-D62</f>
        <v>31</v>
      </c>
      <c r="F63" s="532"/>
      <c r="G63" s="195"/>
      <c r="H63" s="195"/>
      <c r="I63" s="195"/>
      <c r="J63" s="195"/>
      <c r="K63" s="195"/>
      <c r="L63" s="195"/>
      <c r="M63" s="195"/>
      <c r="N63" s="195"/>
      <c r="O63" s="195"/>
      <c r="P63" s="328"/>
    </row>
    <row r="64" spans="1:16" ht="15" thickBot="1">
      <c r="A64" s="924"/>
      <c r="B64" s="925"/>
      <c r="C64" s="528"/>
      <c r="D64" s="528"/>
      <c r="E64" s="534">
        <f>+E63/C62</f>
        <v>1.3155102906853384E-3</v>
      </c>
      <c r="F64" s="533"/>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1:O1"/>
    <mergeCell ref="A44:A46"/>
    <mergeCell ref="A47:A48"/>
    <mergeCell ref="H42:O42"/>
    <mergeCell ref="A14:O14"/>
    <mergeCell ref="F4:O4"/>
    <mergeCell ref="G13:O13"/>
    <mergeCell ref="G15:O16"/>
    <mergeCell ref="G44:O45"/>
    <mergeCell ref="A2:O2"/>
    <mergeCell ref="A63:B64"/>
    <mergeCell ref="A55:A57"/>
    <mergeCell ref="A58:A59"/>
    <mergeCell ref="A62:B62"/>
    <mergeCell ref="A15:A23"/>
    <mergeCell ref="A24:A27"/>
    <mergeCell ref="A28:A30"/>
    <mergeCell ref="A32:A39"/>
    <mergeCell ref="A40:A41"/>
    <mergeCell ref="A50:A51"/>
    <mergeCell ref="A31:O31"/>
    <mergeCell ref="A43:O43"/>
    <mergeCell ref="A54:O54"/>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9"/>
  <sheetViews>
    <sheetView showGridLines="0" tabSelected="1" topLeftCell="A27" workbookViewId="0">
      <selection activeCell="C46" sqref="C46"/>
    </sheetView>
  </sheetViews>
  <sheetFormatPr defaultRowHeight="15.5"/>
  <cols>
    <col min="1" max="1" width="1.7265625" style="372" customWidth="1"/>
    <col min="2" max="2" width="43.54296875" style="372" customWidth="1"/>
    <col min="3" max="3" width="10.26953125" style="404" customWidth="1"/>
    <col min="4" max="4" width="58.90625" style="372" customWidth="1"/>
    <col min="5" max="5" width="9.7265625" style="372" bestFit="1" customWidth="1"/>
    <col min="6" max="16384" width="8.7265625" style="372"/>
  </cols>
  <sheetData>
    <row r="1" spans="1:5" ht="20">
      <c r="A1" s="902" t="s">
        <v>87</v>
      </c>
      <c r="B1" s="902"/>
      <c r="C1" s="902"/>
      <c r="D1" s="902"/>
      <c r="E1" s="902"/>
    </row>
    <row r="2" spans="1:5" ht="18.5" customHeight="1">
      <c r="A2" s="901" t="s">
        <v>549</v>
      </c>
      <c r="B2" s="901"/>
      <c r="C2" s="901"/>
      <c r="D2" s="901"/>
      <c r="E2" s="901"/>
    </row>
    <row r="3" spans="1:5" ht="18.5" customHeight="1" thickBot="1">
      <c r="A3" s="597"/>
      <c r="B3" s="597"/>
      <c r="C3" s="597"/>
      <c r="D3" s="597"/>
      <c r="E3" s="597"/>
    </row>
    <row r="4" spans="1:5" ht="30" customHeight="1" thickBot="1">
      <c r="A4" s="597"/>
      <c r="B4" s="967" t="s">
        <v>442</v>
      </c>
      <c r="C4" s="968"/>
      <c r="D4" s="968"/>
      <c r="E4" s="969"/>
    </row>
    <row r="5" spans="1:5">
      <c r="B5" s="598" t="s">
        <v>550</v>
      </c>
      <c r="C5" s="599">
        <f>+'New Year-Full Year'!P108+'New Year-Full Year'!P110</f>
        <v>80210</v>
      </c>
      <c r="D5" s="961" t="str">
        <f>+"Annually  ($"&amp;'New Year-Full Year'!P108-22000&amp;" salary, $22000 housing, and $"&amp;'New Year-Full Year'!P110&amp;" FICA Tax)"</f>
        <v>Annually  ($52510 salary, $22000 housing, and $5700 FICA Tax)</v>
      </c>
      <c r="E5" s="962"/>
    </row>
    <row r="6" spans="1:5" ht="16" thickBot="1">
      <c r="B6" s="601" t="s">
        <v>440</v>
      </c>
      <c r="C6" s="600">
        <f>+'New Year-Full Year'!P112</f>
        <v>16544</v>
      </c>
      <c r="D6" s="959" t="s">
        <v>439</v>
      </c>
      <c r="E6" s="960"/>
    </row>
    <row r="7" spans="1:5">
      <c r="B7" s="598" t="s">
        <v>551</v>
      </c>
      <c r="C7" s="599">
        <f>+'New Year-Full Year'!P121+'New Year-Full Year'!P123</f>
        <v>70066</v>
      </c>
      <c r="D7" s="961" t="str">
        <f>+"Annually  ($"&amp;'New Year-Full Year'!P121-20000&amp;" salary, $20000 housing, and $"&amp;'New Year-Full Year'!P123&amp;" FICA Tax)"</f>
        <v>Annually  ($45087 salary, $20000 housing, and $4979 FICA Tax)</v>
      </c>
      <c r="E7" s="962"/>
    </row>
    <row r="8" spans="1:5" ht="16" thickBot="1">
      <c r="B8" s="601" t="s">
        <v>440</v>
      </c>
      <c r="C8" s="600">
        <f>+'New Year-Full Year'!P124</f>
        <v>11211</v>
      </c>
      <c r="D8" s="959" t="s">
        <v>439</v>
      </c>
      <c r="E8" s="960"/>
    </row>
    <row r="9" spans="1:5" ht="18.5" customHeight="1" thickBot="1">
      <c r="A9" s="597"/>
      <c r="B9" s="597"/>
      <c r="C9" s="597"/>
      <c r="D9" s="597"/>
      <c r="E9" s="597"/>
    </row>
    <row r="10" spans="1:5" ht="30" customHeight="1" thickBot="1">
      <c r="A10" s="380"/>
      <c r="B10" s="398" t="s">
        <v>310</v>
      </c>
      <c r="C10" s="399" t="s">
        <v>312</v>
      </c>
      <c r="D10" s="380"/>
      <c r="E10" s="746"/>
    </row>
    <row r="11" spans="1:5" ht="18.5" customHeight="1">
      <c r="A11" s="380"/>
      <c r="B11" s="394" t="s">
        <v>441</v>
      </c>
      <c r="C11" s="395">
        <f>+'New Year-Full Year'!F145</f>
        <v>10</v>
      </c>
      <c r="D11" s="380"/>
      <c r="E11" s="380"/>
    </row>
    <row r="12" spans="1:5" ht="18.5" customHeight="1">
      <c r="A12" s="380"/>
      <c r="B12" s="394" t="s">
        <v>433</v>
      </c>
      <c r="C12" s="395">
        <f>+'New Year-Full Year'!F161</f>
        <v>17.690000000000001</v>
      </c>
      <c r="D12" s="747"/>
      <c r="E12" s="380"/>
    </row>
    <row r="13" spans="1:5" ht="18.5" customHeight="1">
      <c r="A13" s="380"/>
      <c r="B13" s="394" t="s">
        <v>434</v>
      </c>
      <c r="C13" s="395">
        <f>+'New Year-Full Year'!F163</f>
        <v>13.78</v>
      </c>
      <c r="D13" s="380"/>
      <c r="E13" s="380"/>
    </row>
    <row r="14" spans="1:5" ht="18.5" customHeight="1">
      <c r="A14" s="380"/>
      <c r="B14" s="394" t="s">
        <v>435</v>
      </c>
      <c r="C14" s="395">
        <f>+'New Year-Full Year'!F164</f>
        <v>11.57</v>
      </c>
      <c r="D14" s="380"/>
      <c r="E14" s="380"/>
    </row>
    <row r="15" spans="1:5" ht="18.5" customHeight="1">
      <c r="A15" s="380"/>
      <c r="B15" s="394" t="s">
        <v>436</v>
      </c>
      <c r="C15" s="395">
        <f>+'New Year-Full Year'!F165</f>
        <v>11.22</v>
      </c>
      <c r="D15" s="380"/>
      <c r="E15" s="380"/>
    </row>
    <row r="16" spans="1:5" ht="18.5" customHeight="1" thickBot="1">
      <c r="A16" s="380"/>
      <c r="B16" s="396" t="s">
        <v>437</v>
      </c>
      <c r="C16" s="397">
        <f>+'New Year-Full Year'!F169</f>
        <v>14.57</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965" t="s">
        <v>313</v>
      </c>
      <c r="E19" s="966"/>
    </row>
    <row r="20" spans="1:7" ht="67" customHeight="1" thickBot="1">
      <c r="B20" s="400" t="s">
        <v>240</v>
      </c>
      <c r="C20" s="457">
        <f>+'Band and Other Music'!E13</f>
        <v>3091</v>
      </c>
      <c r="D20" s="963" t="s">
        <v>311</v>
      </c>
      <c r="E20" s="964"/>
    </row>
    <row r="21" spans="1:7" ht="33" customHeight="1" thickBot="1">
      <c r="B21" s="400" t="s">
        <v>109</v>
      </c>
      <c r="C21" s="457">
        <f>+'New Year-Full Year'!P149</f>
        <v>16385</v>
      </c>
      <c r="D21" s="963" t="s">
        <v>204</v>
      </c>
      <c r="E21" s="964"/>
    </row>
    <row r="22" spans="1:7" ht="33" customHeight="1" thickBot="1">
      <c r="B22" s="400" t="s">
        <v>438</v>
      </c>
      <c r="C22" s="457">
        <f>+'New Year-Full Year'!P155</f>
        <v>7634</v>
      </c>
      <c r="D22" s="963" t="s">
        <v>204</v>
      </c>
      <c r="E22" s="964"/>
    </row>
    <row r="23" spans="1:7" ht="16" thickBot="1">
      <c r="A23" s="381"/>
      <c r="B23" s="374"/>
      <c r="C23" s="402"/>
      <c r="D23" s="374"/>
    </row>
    <row r="24" spans="1:7" ht="16" thickBot="1">
      <c r="A24" s="375"/>
      <c r="B24" s="385" t="s">
        <v>271</v>
      </c>
      <c r="C24" s="401"/>
      <c r="D24" s="386"/>
      <c r="E24" s="387"/>
    </row>
    <row r="25" spans="1:7">
      <c r="A25" s="954"/>
      <c r="B25" s="382" t="s">
        <v>315</v>
      </c>
      <c r="C25" s="458">
        <f>+'Band and Other Music'!E24</f>
        <v>6</v>
      </c>
      <c r="D25" s="955" t="s">
        <v>370</v>
      </c>
      <c r="E25" s="956"/>
    </row>
    <row r="26" spans="1:7">
      <c r="A26" s="954"/>
      <c r="B26" s="382" t="s">
        <v>367</v>
      </c>
      <c r="C26" s="458">
        <f>+'Band and Other Music'!E25</f>
        <v>3</v>
      </c>
      <c r="D26" s="955"/>
      <c r="E26" s="956"/>
    </row>
    <row r="27" spans="1:7">
      <c r="A27" s="954"/>
      <c r="B27" s="382" t="s">
        <v>267</v>
      </c>
      <c r="C27" s="459">
        <f>+'Band and Other Music'!E26</f>
        <v>25</v>
      </c>
      <c r="D27" s="955"/>
      <c r="E27" s="956"/>
      <c r="G27" s="376"/>
    </row>
    <row r="28" spans="1:7" ht="16" thickBot="1">
      <c r="A28" s="954"/>
      <c r="B28" s="383" t="s">
        <v>371</v>
      </c>
      <c r="C28" s="460">
        <f>+'Band and Other Music'!E27</f>
        <v>30</v>
      </c>
      <c r="D28" s="957"/>
      <c r="E28" s="958"/>
    </row>
    <row r="29" spans="1:7" ht="16" thickBot="1">
      <c r="A29" s="375"/>
    </row>
    <row r="30" spans="1:7" ht="16" thickBot="1">
      <c r="A30" s="375"/>
      <c r="B30" s="385" t="s">
        <v>272</v>
      </c>
      <c r="C30" s="401"/>
      <c r="D30" s="386"/>
      <c r="E30" s="387"/>
    </row>
    <row r="31" spans="1:7">
      <c r="A31" s="954"/>
      <c r="B31" s="382" t="s">
        <v>316</v>
      </c>
      <c r="C31" s="458">
        <f>+'Band and Other Music'!E40</f>
        <v>1</v>
      </c>
      <c r="D31" s="955" t="s">
        <v>308</v>
      </c>
      <c r="E31" s="956"/>
    </row>
    <row r="32" spans="1:7" ht="16" thickBot="1">
      <c r="A32" s="954"/>
      <c r="B32" s="383" t="s">
        <v>286</v>
      </c>
      <c r="C32" s="460">
        <f>+'Band and Other Music'!E41</f>
        <v>25</v>
      </c>
      <c r="D32" s="957"/>
      <c r="E32" s="958"/>
    </row>
    <row r="33" spans="1:5" ht="16" thickBot="1">
      <c r="A33" s="375"/>
    </row>
    <row r="34" spans="1:5" ht="16" thickBot="1">
      <c r="A34" s="375"/>
      <c r="B34" s="385" t="s">
        <v>303</v>
      </c>
      <c r="C34" s="401"/>
      <c r="D34" s="386"/>
      <c r="E34" s="387"/>
    </row>
    <row r="35" spans="1:5">
      <c r="A35" s="954"/>
      <c r="B35" s="382" t="s">
        <v>317</v>
      </c>
      <c r="C35" s="458">
        <f>+'Band and Other Music'!E47</f>
        <v>3</v>
      </c>
      <c r="D35" s="375" t="s">
        <v>290</v>
      </c>
      <c r="E35" s="388"/>
    </row>
    <row r="36" spans="1:5" ht="16" thickBot="1">
      <c r="A36" s="954"/>
      <c r="B36" s="390" t="s">
        <v>291</v>
      </c>
      <c r="C36" s="461">
        <f>+'Band and Other Music'!E48</f>
        <v>50</v>
      </c>
      <c r="D36" s="377"/>
      <c r="E36" s="391"/>
    </row>
    <row r="37" spans="1:5" ht="15" customHeight="1">
      <c r="A37" s="954"/>
      <c r="B37" s="392" t="s">
        <v>318</v>
      </c>
      <c r="C37" s="462">
        <f>+'Band and Other Music'!E50</f>
        <v>2</v>
      </c>
      <c r="D37" s="378" t="s">
        <v>290</v>
      </c>
      <c r="E37" s="393"/>
    </row>
    <row r="38" spans="1:5" ht="15" customHeight="1" thickBot="1">
      <c r="A38" s="954"/>
      <c r="B38" s="383" t="s">
        <v>296</v>
      </c>
      <c r="C38" s="460">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954"/>
      <c r="B41" s="382" t="s">
        <v>319</v>
      </c>
      <c r="C41" s="458">
        <f>+'Band and Other Music'!E58</f>
        <v>1</v>
      </c>
      <c r="D41" s="375"/>
      <c r="E41" s="388"/>
    </row>
    <row r="42" spans="1:5" ht="16" thickBot="1">
      <c r="A42" s="954"/>
      <c r="B42" s="383" t="s">
        <v>291</v>
      </c>
      <c r="C42" s="460">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B4:E4"/>
    <mergeCell ref="A1:E1"/>
    <mergeCell ref="A2:E2"/>
    <mergeCell ref="D7:E7"/>
    <mergeCell ref="D8:E8"/>
    <mergeCell ref="A41:A42"/>
    <mergeCell ref="D25:E28"/>
    <mergeCell ref="D31:E32"/>
    <mergeCell ref="D6:E6"/>
    <mergeCell ref="D5:E5"/>
    <mergeCell ref="A37:A38"/>
    <mergeCell ref="D21:E21"/>
    <mergeCell ref="D22:E22"/>
    <mergeCell ref="D20:E20"/>
    <mergeCell ref="A25:A28"/>
    <mergeCell ref="D19:E19"/>
    <mergeCell ref="A31:A32"/>
    <mergeCell ref="A35:A36"/>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970" t="s">
        <v>199</v>
      </c>
      <c r="F3" s="972" t="s">
        <v>199</v>
      </c>
      <c r="G3" s="973"/>
      <c r="H3" s="973"/>
      <c r="I3" s="974"/>
    </row>
    <row r="4" spans="1:9" s="2" customFormat="1">
      <c r="A4" s="44"/>
      <c r="D4" s="15"/>
      <c r="E4" s="971"/>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873" t="s">
        <v>307</v>
      </c>
      <c r="D89" s="873"/>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873" t="s">
        <v>189</v>
      </c>
      <c r="D104" s="873"/>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873" t="s">
        <v>100</v>
      </c>
      <c r="D126" s="873"/>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4"/>
  <sheetViews>
    <sheetView showGridLines="0" workbookViewId="0">
      <selection activeCell="B14" sqref="B14"/>
    </sheetView>
  </sheetViews>
  <sheetFormatPr defaultRowHeight="21"/>
  <cols>
    <col min="1" max="1" width="4.36328125" style="700" customWidth="1"/>
    <col min="2" max="2" width="39.6328125" style="700" customWidth="1"/>
    <col min="3" max="3" width="15" style="700" hidden="1" customWidth="1"/>
    <col min="4" max="4" width="1.453125" style="727" customWidth="1"/>
    <col min="5" max="6" width="16" style="700" customWidth="1"/>
    <col min="7" max="7" width="1.453125" style="700" customWidth="1"/>
    <col min="8" max="8" width="16.08984375" style="700" customWidth="1"/>
    <col min="9" max="9" width="1.453125" style="700" customWidth="1"/>
    <col min="10" max="10" width="16.08984375" style="700" customWidth="1"/>
    <col min="11" max="16384" width="8.7265625" style="700"/>
  </cols>
  <sheetData>
    <row r="1" spans="1:11" ht="26">
      <c r="B1" s="829" t="s">
        <v>87</v>
      </c>
      <c r="C1" s="829"/>
      <c r="D1" s="829"/>
      <c r="E1" s="829"/>
      <c r="F1" s="829"/>
      <c r="G1" s="829"/>
      <c r="H1" s="829"/>
      <c r="I1" s="829"/>
      <c r="J1" s="829"/>
    </row>
    <row r="2" spans="1:11">
      <c r="D2" s="729"/>
    </row>
    <row r="3" spans="1:11">
      <c r="D3" s="731"/>
      <c r="E3" s="827">
        <v>2020</v>
      </c>
      <c r="F3" s="828"/>
      <c r="G3" s="738"/>
      <c r="H3" s="718">
        <v>2021</v>
      </c>
      <c r="I3" s="742"/>
      <c r="J3" s="732"/>
    </row>
    <row r="4" spans="1:11" ht="53" customHeight="1">
      <c r="B4" s="712"/>
      <c r="C4" s="707" t="s">
        <v>548</v>
      </c>
      <c r="D4" s="734"/>
      <c r="E4" s="707" t="s">
        <v>531</v>
      </c>
      <c r="F4" s="707" t="s">
        <v>545</v>
      </c>
      <c r="G4" s="739"/>
      <c r="H4" s="707" t="s">
        <v>546</v>
      </c>
      <c r="I4" s="743"/>
      <c r="J4" s="707" t="s">
        <v>547</v>
      </c>
      <c r="K4" s="712"/>
    </row>
    <row r="5" spans="1:11">
      <c r="B5" s="712" t="s">
        <v>540</v>
      </c>
      <c r="C5" s="728"/>
      <c r="D5" s="724"/>
      <c r="E5" s="705">
        <v>56200</v>
      </c>
      <c r="F5" s="705">
        <f>+'Summary New Year'!J117</f>
        <v>75859.97000000003</v>
      </c>
      <c r="G5" s="710"/>
      <c r="H5" s="705">
        <f>+'New Year-Full Year'!P227</f>
        <v>-8185</v>
      </c>
      <c r="I5" s="721"/>
      <c r="J5" s="723"/>
      <c r="K5" s="712"/>
    </row>
    <row r="6" spans="1:11">
      <c r="B6" s="712" t="s">
        <v>539</v>
      </c>
      <c r="C6" s="729"/>
      <c r="D6" s="724"/>
      <c r="E6" s="703">
        <v>5000</v>
      </c>
      <c r="F6" s="703"/>
      <c r="G6" s="710"/>
      <c r="H6" s="722"/>
      <c r="I6" s="721"/>
      <c r="J6" s="724"/>
      <c r="K6" s="712"/>
    </row>
    <row r="7" spans="1:11">
      <c r="B7" s="733" t="s">
        <v>542</v>
      </c>
      <c r="C7" s="730"/>
      <c r="D7" s="725"/>
      <c r="E7" s="708">
        <f>+E5-E6</f>
        <v>51200</v>
      </c>
      <c r="F7" s="708">
        <f>+F5-F6</f>
        <v>75859.97000000003</v>
      </c>
      <c r="G7" s="720"/>
      <c r="H7" s="708">
        <f>+H5-H6</f>
        <v>-8185</v>
      </c>
      <c r="I7" s="725"/>
      <c r="J7" s="725"/>
      <c r="K7" s="712"/>
    </row>
    <row r="8" spans="1:11">
      <c r="B8" s="712"/>
      <c r="D8" s="729"/>
      <c r="G8" s="712"/>
      <c r="I8" s="712"/>
      <c r="K8" s="712"/>
    </row>
    <row r="9" spans="1:11">
      <c r="B9" s="733" t="s">
        <v>532</v>
      </c>
      <c r="D9" s="729"/>
      <c r="G9" s="712"/>
      <c r="I9" s="712"/>
      <c r="K9" s="712"/>
    </row>
    <row r="10" spans="1:11">
      <c r="A10" s="701" t="s">
        <v>533</v>
      </c>
      <c r="B10" s="712" t="s">
        <v>544</v>
      </c>
      <c r="C10" s="705">
        <v>13765.63</v>
      </c>
      <c r="D10" s="735"/>
      <c r="E10" s="704"/>
      <c r="F10" s="709">
        <v>20000</v>
      </c>
      <c r="G10" s="719"/>
      <c r="H10" s="705"/>
      <c r="I10" s="724"/>
      <c r="J10" s="745">
        <f>SUM(C10:H10)</f>
        <v>33765.629999999997</v>
      </c>
      <c r="K10" s="712"/>
    </row>
    <row r="11" spans="1:11">
      <c r="A11" s="701" t="s">
        <v>534</v>
      </c>
      <c r="B11" s="712" t="s">
        <v>537</v>
      </c>
      <c r="C11" s="722">
        <v>29502.66</v>
      </c>
      <c r="D11" s="735"/>
      <c r="E11" s="715">
        <f>+$E$7/2</f>
        <v>25600</v>
      </c>
      <c r="F11" s="711">
        <v>10000</v>
      </c>
      <c r="G11" s="719"/>
      <c r="H11" s="722">
        <f>+'New Year-Full Year'!P214</f>
        <v>-8185</v>
      </c>
      <c r="I11" s="724"/>
      <c r="J11" s="715">
        <f t="shared" ref="J11:J13" si="0">SUM(C11:H11)</f>
        <v>56917.66</v>
      </c>
      <c r="K11" s="712"/>
    </row>
    <row r="12" spans="1:11">
      <c r="A12" s="701" t="s">
        <v>535</v>
      </c>
      <c r="B12" s="712" t="s">
        <v>543</v>
      </c>
      <c r="C12" s="722">
        <v>168816.55</v>
      </c>
      <c r="D12" s="736"/>
      <c r="E12" s="716"/>
      <c r="F12" s="713">
        <f>+F7-F10-F11</f>
        <v>45859.97000000003</v>
      </c>
      <c r="G12" s="740"/>
      <c r="H12" s="726"/>
      <c r="I12" s="744"/>
      <c r="J12" s="726">
        <f t="shared" si="0"/>
        <v>214676.52000000002</v>
      </c>
      <c r="K12" s="712"/>
    </row>
    <row r="13" spans="1:11">
      <c r="A13" s="701" t="s">
        <v>536</v>
      </c>
      <c r="B13" s="712" t="s">
        <v>538</v>
      </c>
      <c r="C13" s="703">
        <v>29502.66</v>
      </c>
      <c r="D13" s="706"/>
      <c r="E13" s="717">
        <f>+$E$7/2</f>
        <v>25600</v>
      </c>
      <c r="F13" s="714"/>
      <c r="G13" s="741"/>
      <c r="H13" s="702"/>
      <c r="I13" s="729"/>
      <c r="J13" s="717">
        <f t="shared" si="0"/>
        <v>55102.66</v>
      </c>
      <c r="K13" s="712"/>
    </row>
    <row r="14" spans="1:11">
      <c r="B14" s="733" t="s">
        <v>541</v>
      </c>
      <c r="C14" s="708">
        <f>SUM(C10:C13)</f>
        <v>241587.5</v>
      </c>
      <c r="D14" s="737"/>
      <c r="E14" s="708">
        <f>SUM(E10:E13)</f>
        <v>51200</v>
      </c>
      <c r="F14" s="708">
        <f>SUM(F10:F13)</f>
        <v>75859.97000000003</v>
      </c>
      <c r="G14" s="720"/>
      <c r="H14" s="708">
        <f>SUM(H10:H13)</f>
        <v>-8185</v>
      </c>
      <c r="I14" s="725"/>
      <c r="J14" s="708">
        <f>SUM(J10:J13)</f>
        <v>360462.47000000009</v>
      </c>
      <c r="K14" s="712"/>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M118"/>
  <sheetViews>
    <sheetView showGridLines="0" topLeftCell="B1" workbookViewId="0">
      <selection activeCell="O22" sqref="O22"/>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831" t="s">
        <v>87</v>
      </c>
      <c r="C1" s="831"/>
      <c r="D1" s="831"/>
      <c r="E1" s="831"/>
      <c r="F1" s="831"/>
      <c r="G1" s="831"/>
      <c r="H1" s="831"/>
      <c r="I1" s="831"/>
      <c r="J1" s="831"/>
      <c r="K1" s="831"/>
      <c r="L1" s="831"/>
    </row>
    <row r="2" spans="1:12" ht="8.25" customHeight="1">
      <c r="B2" s="832"/>
      <c r="C2" s="832"/>
      <c r="D2" s="832"/>
      <c r="E2" s="832"/>
      <c r="F2" s="832"/>
      <c r="G2" s="832"/>
      <c r="H2" s="832"/>
      <c r="I2" s="832"/>
      <c r="J2" s="832"/>
      <c r="K2" s="832"/>
      <c r="L2" s="832"/>
    </row>
    <row r="3" spans="1:12" ht="18" customHeight="1">
      <c r="E3" s="836" t="s">
        <v>86</v>
      </c>
      <c r="F3" s="837"/>
      <c r="G3" s="837"/>
      <c r="H3" s="838"/>
      <c r="J3" s="833" t="str">
        <f>+'New Year-Full Year'!U2</f>
        <v>2020 Year to Date (YTD)</v>
      </c>
      <c r="K3" s="834"/>
      <c r="L3" s="835"/>
    </row>
    <row r="4" spans="1:12" ht="22.5" customHeight="1">
      <c r="E4" s="844" t="str">
        <f>+'New Year-Full Year'!P3</f>
        <v>2021 Budget</v>
      </c>
      <c r="F4" s="842" t="str">
        <f>+'New Year-Full Year'!Q3</f>
        <v>2020 Budget</v>
      </c>
      <c r="G4" s="840" t="str">
        <f>Bud_Yr&amp;" Budget vs "&amp;Bud_Yr-1&amp;" Budget"</f>
        <v>2021 Budget vs 2020 Budget</v>
      </c>
      <c r="H4" s="841"/>
      <c r="J4" s="844" t="str">
        <f>+'New Year-Full Year'!U3</f>
        <v>Nov 2020 YTD Actual</v>
      </c>
      <c r="K4" s="842" t="str">
        <f>+'New Year-Full Year'!V3</f>
        <v>Nov 2020 YTD Budget</v>
      </c>
      <c r="L4" s="846" t="s">
        <v>85</v>
      </c>
    </row>
    <row r="5" spans="1:12" s="2" customFormat="1">
      <c r="A5" s="44"/>
      <c r="E5" s="845"/>
      <c r="F5" s="843"/>
      <c r="G5" s="585" t="s">
        <v>113</v>
      </c>
      <c r="H5" s="51" t="s">
        <v>114</v>
      </c>
      <c r="J5" s="845"/>
      <c r="K5" s="843"/>
      <c r="L5" s="847"/>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432376.74</v>
      </c>
      <c r="K8" s="38">
        <f>+'New Year-Full Year'!V7</f>
        <v>435193.14</v>
      </c>
      <c r="L8" s="4">
        <f t="shared" ref="L8:L14" si="1">IF(K8=0,"NA",(+J8-K8)/K8)</f>
        <v>-6.4716093640630988E-3</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170</v>
      </c>
      <c r="K11" s="38">
        <f>+'New Year-Full Year'!V12</f>
        <v>1000</v>
      </c>
      <c r="L11" s="4">
        <f t="shared" si="1"/>
        <v>-0.83</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436905.44</v>
      </c>
      <c r="K14" s="10">
        <f>SUM(K8:K13)</f>
        <v>442693.14</v>
      </c>
      <c r="L14" s="11">
        <f t="shared" si="1"/>
        <v>-1.3073841623116209E-2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6192.07</v>
      </c>
      <c r="K17" s="38">
        <f>+'New Year-Full Year'!V18</f>
        <v>10083.370000000001</v>
      </c>
      <c r="L17" s="4">
        <f t="shared" ref="L17:L23" si="5">IF(K17=0,"NA",(+J17-K17)/K17)</f>
        <v>-0.38591264626806321</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6193.49</v>
      </c>
      <c r="K22" s="10">
        <f>SUM(K17:K21)</f>
        <v>10083.370000000001</v>
      </c>
      <c r="L22" s="11">
        <f t="shared" si="5"/>
        <v>-0.38577182033387653</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443098.93</v>
      </c>
      <c r="K23" s="10">
        <f>+K14+K22</f>
        <v>452776.51</v>
      </c>
      <c r="L23" s="11">
        <f t="shared" si="5"/>
        <v>-2.1373856165815705E-2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36328.369999999995</v>
      </c>
      <c r="K26" s="12">
        <f>+'New Year-Full Year'!V43</f>
        <v>34828.369999999995</v>
      </c>
      <c r="L26" s="14">
        <f>IF(K26=0,"NA",(+J26-K26)/K26)</f>
        <v>4.3068337679885688E-2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839" t="str">
        <f>+'New Year-Full Year'!B46</f>
        <v>Parish Ed</v>
      </c>
      <c r="C29" s="839"/>
      <c r="D29" s="839"/>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2044.44</v>
      </c>
      <c r="L30" s="4">
        <f t="shared" ref="L30:L37" si="9">IF(K30=0,"NA",(+J30-K30)/K30)</f>
        <v>-0.29377726908101981</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249.8</v>
      </c>
      <c r="K35" s="38">
        <f>+'New Year-Full Year'!V57</f>
        <v>504.13</v>
      </c>
      <c r="L35" s="4">
        <f>IF(K35=0,"NA",(+J35-K35)/K35)</f>
        <v>-0.50449288873901565</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229.13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1854.25</v>
      </c>
      <c r="K37" s="37">
        <f>SUM(K30:K36)</f>
        <v>4227.7</v>
      </c>
      <c r="L37" s="21">
        <f t="shared" si="9"/>
        <v>-0.56140454620715752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2483.39</v>
      </c>
      <c r="K40" s="38">
        <f>+'New Year-Full Year'!V64</f>
        <v>3208.37</v>
      </c>
      <c r="L40" s="4">
        <f>IF(K40=0,"NA",(+J40-K40)/K40)</f>
        <v>-0.22596520974825224</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91.63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183.37</v>
      </c>
      <c r="L42" s="4">
        <f>IF(K42=0,"NA",(+J42-K42)/K42)</f>
        <v>-0.46828816054970823</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2580.89</v>
      </c>
      <c r="K43" s="37">
        <f>SUM(K40:K42)</f>
        <v>3483.37</v>
      </c>
      <c r="L43" s="21">
        <f>IF(K43=0,"NA",(+J43-K43)/K43)</f>
        <v>-0.25908244028053296</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3817.03</v>
      </c>
      <c r="K45" s="37">
        <f>+'New Year-Full Year'!V70</f>
        <v>11733.37</v>
      </c>
      <c r="L45" s="21">
        <f>IF(K45=0,"NA",(+J45-K45)/K45)</f>
        <v>-0.67468595978819379</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366.63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137.5</v>
      </c>
      <c r="L49" s="4">
        <f>IF(K49=0,"NA",(+J49-K49)/K49)</f>
        <v>-0.81309090909090909</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504.13</v>
      </c>
      <c r="L50" s="21">
        <f>IF(K50=0,"NA",(+J50-K50)/K50)</f>
        <v>-0.94902108583103562</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183.37</v>
      </c>
      <c r="L52" s="21">
        <f>IF(K52=0,"NA",(+J52-K52)/K52)</f>
        <v>-0.17085673774336049</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2750</v>
      </c>
      <c r="L58" s="4">
        <f t="shared" si="16"/>
        <v>-0.92363636363636359</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183.37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1443.75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6277.12</v>
      </c>
      <c r="L61" s="21">
        <f t="shared" si="16"/>
        <v>-0.85583993933523661</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3208.37</v>
      </c>
      <c r="L64" s="4">
        <f t="shared" ref="L64:L71" si="19">IF(K64=0,"NA",(+J64-K64)/K64)</f>
        <v>-0.26683643096026943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2062.5</v>
      </c>
      <c r="L65" s="4">
        <f t="shared" si="19"/>
        <v>0.68581818181818177</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12041.22</v>
      </c>
      <c r="K66" s="38">
        <f>+'New Year-Full Year'!V98</f>
        <v>11916.63</v>
      </c>
      <c r="L66" s="4">
        <f t="shared" si="19"/>
        <v>1.0455137064757414E-2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1100</v>
      </c>
      <c r="L67" s="4">
        <f t="shared" si="19"/>
        <v>-0.47523636363636362</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1400.94</v>
      </c>
      <c r="K68" s="38">
        <f>+'New Year-Full Year'!V101</f>
        <v>1558.37</v>
      </c>
      <c r="L68" s="4">
        <f t="shared" si="19"/>
        <v>-0.10102222193702384</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4125</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19848.66</v>
      </c>
      <c r="K70" s="37">
        <f>SUM(K64:K69)</f>
        <v>23970.87</v>
      </c>
      <c r="L70" s="21">
        <f t="shared" si="19"/>
        <v>-0.17196747552341651</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29183.48</v>
      </c>
      <c r="K71" s="37">
        <f>+K37+K43+K45+K52+K61+K70+K50</f>
        <v>50379.93</v>
      </c>
      <c r="L71" s="21">
        <f t="shared" si="19"/>
        <v>-0.42073202563004752</v>
      </c>
    </row>
    <row r="72" spans="1:13" ht="8.25" customHeight="1">
      <c r="A72" s="43">
        <v>78</v>
      </c>
      <c r="H72" s="39"/>
    </row>
    <row r="73" spans="1:13" ht="18.5">
      <c r="A73" s="43">
        <v>79</v>
      </c>
      <c r="B73" s="7" t="s">
        <v>38</v>
      </c>
      <c r="H73" s="39"/>
    </row>
    <row r="74" spans="1:13" hidden="1">
      <c r="B74" s="2" t="s">
        <v>407</v>
      </c>
      <c r="H74" s="39"/>
    </row>
    <row r="75" spans="1:13" hidden="1">
      <c r="A75" s="43">
        <v>81</v>
      </c>
      <c r="C75" s="830" t="s">
        <v>524</v>
      </c>
      <c r="D75" s="830"/>
      <c r="E75" s="38">
        <f>+'New Year-Full Year'!P$108+'New Year-Full Year'!P$145+'New Year-Full Year'!P$158+SUM('New Year-Full Year'!P$161:P$163)+SUM('New Year-Full Year'!P$168:P$169)+'New Year-Full Year'!P$172</f>
        <v>213262</v>
      </c>
      <c r="F75" s="38">
        <f>+'New Year-Full Year'!Q$108+'New Year-Full Year'!Q$145+'New Year-Full Year'!Q$158+SUM('New Year-Full Year'!Q$161:Q$163)+SUM('New Year-Full Year'!Q$168:Q$169)+'New Year-Full Year'!Q$172</f>
        <v>212669</v>
      </c>
      <c r="G75" s="38">
        <f t="shared" ref="G75:G76" si="20">+E75-F75</f>
        <v>593</v>
      </c>
      <c r="H75" s="4">
        <f>IF(F75=0,"NA",(+E75-F75)/F75)</f>
        <v>2.7883706605099944E-3</v>
      </c>
      <c r="J75" s="38">
        <f>+'New Year-Full Year'!U$108+'New Year-Full Year'!U$145+'New Year-Full Year'!U$158+SUM('New Year-Full Year'!U$161:U$163)+SUM('New Year-Full Year'!U$168:U$169)+'New Year-Full Year'!U$172</f>
        <v>168055.03000000003</v>
      </c>
      <c r="K75" s="38">
        <f>+'New Year-Full Year'!V$108+'New Year-Full Year'!V$145+'New Year-Full Year'!V$158+SUM('New Year-Full Year'!V$161:V$163)+SUM('New Year-Full Year'!V$168:V$169)+'New Year-Full Year'!V$172</f>
        <v>194596.33</v>
      </c>
      <c r="L75" s="4">
        <f>IF(K75=0,"NA",(+J75-K75)/K75)</f>
        <v>-0.13639157531902046</v>
      </c>
    </row>
    <row r="76" spans="1:13" hidden="1">
      <c r="A76" s="43">
        <v>83</v>
      </c>
      <c r="C76" s="1" t="s">
        <v>101</v>
      </c>
      <c r="E76" s="38">
        <f>SUM('New Year-Full Year'!P109:P117)+'New Year-Full Year'!P166+'New Year-Full Year'!P167+'New Year-Full Year'!P170+'New Year-Full Year'!P171</f>
        <v>42952</v>
      </c>
      <c r="F76" s="38">
        <f>SUM('New Year-Full Year'!Q109:Q117)+'New Year-Full Year'!Q166+'New Year-Full Year'!Q167+'New Year-Full Year'!Q170+'New Year-Full Year'!Q171</f>
        <v>42906</v>
      </c>
      <c r="G76" s="38">
        <f t="shared" si="20"/>
        <v>46</v>
      </c>
      <c r="H76" s="4">
        <f>IF(F76=0,"NA",(+E76-F76)/F76)</f>
        <v>1.0721111266489534E-3</v>
      </c>
      <c r="J76" s="38">
        <f>SUM('New Year-Full Year'!U109:U117)+'New Year-Full Year'!U166+'New Year-Full Year'!U167+'New Year-Full Year'!U170+'New Year-Full Year'!U171</f>
        <v>32841.800000000003</v>
      </c>
      <c r="K76" s="38">
        <f>SUM('New Year-Full Year'!V109:V117)+'New Year-Full Year'!V166+'New Year-Full Year'!V167+'New Year-Full Year'!V170+'New Year-Full Year'!V171</f>
        <v>38667.01</v>
      </c>
      <c r="L76" s="4">
        <f>IF(K76=0,"NA",(+J76-K76)/K76)</f>
        <v>-0.15065064508478931</v>
      </c>
      <c r="M76" s="325"/>
    </row>
    <row r="77" spans="1:13" hidden="1">
      <c r="B77" s="2" t="s">
        <v>408</v>
      </c>
      <c r="D77" s="2" t="s">
        <v>525</v>
      </c>
      <c r="E77" s="38"/>
      <c r="F77" s="38"/>
      <c r="G77" s="38"/>
      <c r="H77" s="4"/>
      <c r="J77" s="38"/>
      <c r="K77" s="38"/>
      <c r="L77" s="4"/>
      <c r="M77" s="325"/>
    </row>
    <row r="78" spans="1:13" hidden="1">
      <c r="C78" s="830" t="s">
        <v>411</v>
      </c>
      <c r="D78" s="830"/>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67922.100000000006</v>
      </c>
      <c r="L78" s="4">
        <f>IF(K78=0,"NA",(+J78-K78)/K78)</f>
        <v>-0.43153185781947273</v>
      </c>
      <c r="M78" s="325"/>
    </row>
    <row r="79" spans="1:13" s="2" customFormat="1">
      <c r="A79" s="43">
        <v>86</v>
      </c>
      <c r="B79" s="24" t="s">
        <v>526</v>
      </c>
      <c r="C79" s="24"/>
      <c r="D79" s="24"/>
      <c r="E79" s="24">
        <f>SUM(E75:E78)</f>
        <v>342612</v>
      </c>
      <c r="F79" s="24">
        <f>SUM(F75:F78)</f>
        <v>331619</v>
      </c>
      <c r="G79" s="24">
        <f t="shared" ref="G79" si="22">+E79-F79</f>
        <v>10993</v>
      </c>
      <c r="H79" s="25">
        <f>IF(F79=0,"NA",(+E79-F79)/F79)</f>
        <v>3.3149487815836848E-2</v>
      </c>
      <c r="J79" s="24">
        <f>SUM(J75:J78)</f>
        <v>239508.38</v>
      </c>
      <c r="K79" s="24">
        <f>SUM(K75:K78)</f>
        <v>301185.44</v>
      </c>
      <c r="L79" s="25">
        <f>IF(K79=0,"NA",(+J79-K79)/K79)</f>
        <v>-0.20478101464665754</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9734.31</v>
      </c>
      <c r="K83" s="38">
        <f>+'New Year-Full Year'!V178</f>
        <v>11000</v>
      </c>
      <c r="L83" s="4">
        <f t="shared" ref="L83:L90" si="25">IF(K83=0,"NA",(+J83-K83)/K83)</f>
        <v>-0.11506272727272732</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7700</v>
      </c>
      <c r="K84" s="38">
        <f>+'New Year-Full Year'!V180</f>
        <v>9166.6299999999992</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4322.7299999999996</v>
      </c>
      <c r="K85" s="38">
        <f>+'New Year-Full Year'!V182</f>
        <v>4033.37</v>
      </c>
      <c r="L85" s="4">
        <f t="shared" si="25"/>
        <v>7.1741496564907178E-2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320.87</v>
      </c>
      <c r="L87" s="4">
        <f t="shared" si="25"/>
        <v>0.10122479508835359</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28719.969999999998</v>
      </c>
      <c r="K90" s="27">
        <f>SUM(K83:K89)</f>
        <v>30570.889999999996</v>
      </c>
      <c r="L90" s="28">
        <f t="shared" si="25"/>
        <v>-6.0545178763195921E-2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4166.66</v>
      </c>
      <c r="L94" s="4">
        <f t="shared" si="28"/>
        <v>-0.15836665338664535</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10429.67</v>
      </c>
      <c r="K95" s="38">
        <f>+'New Year-Full Year'!V200</f>
        <v>4125</v>
      </c>
      <c r="L95" s="4">
        <f t="shared" si="28"/>
        <v>1.5284048484848485</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4943.6899999999996</v>
      </c>
      <c r="K96" s="38">
        <f>+'New Year-Full Year'!V202</f>
        <v>5500</v>
      </c>
      <c r="L96" s="4">
        <f t="shared" si="28"/>
        <v>-0.10114727272727279</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9166.6299999999992</v>
      </c>
      <c r="L97" s="4">
        <f t="shared" si="28"/>
        <v>-0.39158665725571984</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33498.76</v>
      </c>
      <c r="K99" s="27">
        <f>SUM(K93:K98)</f>
        <v>34583.29</v>
      </c>
      <c r="L99" s="28">
        <f t="shared" si="28"/>
        <v>-3.1359942908844092E-2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62218.729999999996</v>
      </c>
      <c r="K100" s="27">
        <f>+K90+K99</f>
        <v>65154.179999999993</v>
      </c>
      <c r="L100" s="28">
        <f t="shared" si="28"/>
        <v>-4.5053901376703648E-2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-8185</v>
      </c>
      <c r="F104" s="38">
        <f>SUM('New Year-Full Year'!Q214:Q214)</f>
        <v>0</v>
      </c>
      <c r="G104" s="38">
        <f t="shared" ref="G104:G108" si="29">+E104-F104</f>
        <v>-8185</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-8185</v>
      </c>
      <c r="F110" s="29">
        <f>SUM(F104:F109)</f>
        <v>16</v>
      </c>
      <c r="G110" s="29">
        <f>SUM(G104:G109)</f>
        <v>-8201</v>
      </c>
      <c r="H110" s="30">
        <f t="shared" si="30"/>
        <v>-512.5625</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498500</v>
      </c>
      <c r="F112" s="31">
        <f>+F71+F100+F110+F26+F79</f>
        <v>500500</v>
      </c>
      <c r="G112" s="31">
        <f>+G71+G100+G110+G26+G79</f>
        <v>-2000</v>
      </c>
      <c r="H112" s="33">
        <f>IF(F112=0,"NA",(+E112-F112)/F112)</f>
        <v>-3.996003996003996E-3</v>
      </c>
      <c r="J112" s="31">
        <f>+J71+J100+J110+J26+J79</f>
        <v>367238.95999999996</v>
      </c>
      <c r="K112" s="31">
        <f>+K71+K100+K110+K26+K79</f>
        <v>451547.92</v>
      </c>
      <c r="L112" s="33">
        <f>IF(K112=0,"NA",(+J112-K112)/K112)</f>
        <v>-0.18671099182562956</v>
      </c>
    </row>
    <row r="113" spans="1:12">
      <c r="A113" s="43">
        <v>162</v>
      </c>
      <c r="B113" s="31" t="str">
        <f>+'New Year-Full Year'!B223</f>
        <v>Income less Expense</v>
      </c>
      <c r="C113" s="32"/>
      <c r="D113" s="32"/>
      <c r="E113" s="31">
        <f>ROUND(+E23-E112,0)</f>
        <v>0</v>
      </c>
      <c r="F113" s="31">
        <f>ROUND(+F23-F112,0)</f>
        <v>0</v>
      </c>
      <c r="G113" s="31">
        <f>ROUND(+G23-G112,0)</f>
        <v>0</v>
      </c>
      <c r="H113" s="33" t="str">
        <f>IF(F113=0,"NA",(+E113-F113)/F113)</f>
        <v>NA</v>
      </c>
      <c r="J113" s="31">
        <f>ROUND(+J23-J112,0)</f>
        <v>75860</v>
      </c>
      <c r="K113" s="31">
        <f>ROUND(+K23-K112,0)</f>
        <v>1229</v>
      </c>
      <c r="L113" s="33">
        <f>IF(K113=0,"NA",(+J113-K113)/K113)</f>
        <v>60.724979658258746</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443098.93</v>
      </c>
      <c r="K115" s="122">
        <f>+K23-K21</f>
        <v>452776.51</v>
      </c>
      <c r="L115" s="111">
        <f>IF(K115=0,"NA",(+J115-K115)/K115)</f>
        <v>-2.1373856165815705E-2</v>
      </c>
    </row>
    <row r="116" spans="1:12">
      <c r="B116" s="112" t="str">
        <f>+'New Year-Full Year'!B226</f>
        <v>Operating Expenses</v>
      </c>
      <c r="C116" s="100"/>
      <c r="D116" s="100"/>
      <c r="E116" s="123">
        <f>+E112-E110</f>
        <v>506685</v>
      </c>
      <c r="F116" s="123">
        <f>+F112-F110</f>
        <v>500484</v>
      </c>
      <c r="G116" s="123">
        <f>+G112-G110</f>
        <v>6201</v>
      </c>
      <c r="H116" s="104">
        <f>IF(F116=0,"NA",(+E116-F116)/F116)</f>
        <v>1.2390006473733426E-2</v>
      </c>
      <c r="I116" s="101"/>
      <c r="J116" s="123">
        <f>+J112-J110</f>
        <v>367238.95999999996</v>
      </c>
      <c r="K116" s="123">
        <f>+K112-K110</f>
        <v>451547.92</v>
      </c>
      <c r="L116" s="113">
        <f>IF(K116=0,"NA",(+J116-K116)/K116)</f>
        <v>-0.18671099182562956</v>
      </c>
    </row>
    <row r="117" spans="1:12" ht="15" thickBot="1">
      <c r="B117" s="114" t="str">
        <f>+'New Year-Full Year'!B227</f>
        <v>Net Operating Income/(Loss)</v>
      </c>
      <c r="C117" s="115"/>
      <c r="D117" s="115"/>
      <c r="E117" s="124">
        <f>+E115-E116</f>
        <v>-8185</v>
      </c>
      <c r="F117" s="124">
        <f>+F115-F116</f>
        <v>16</v>
      </c>
      <c r="G117" s="124">
        <f>+G115-G116</f>
        <v>-8201</v>
      </c>
      <c r="H117" s="120">
        <f>IF(F117=0,"NA",(+E117-F117)/F117)</f>
        <v>-512.5625</v>
      </c>
      <c r="I117" s="117"/>
      <c r="J117" s="124">
        <f>+J115-J116</f>
        <v>75859.97000000003</v>
      </c>
      <c r="K117" s="124">
        <f>+K115-K116</f>
        <v>1228.5900000000256</v>
      </c>
      <c r="L117" s="121">
        <f>IF(K117=0,"NA",(+J117-K117)/K117)</f>
        <v>60.745553846277808</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dimension ref="A1:H24"/>
  <sheetViews>
    <sheetView showGridLines="0" workbookViewId="0">
      <selection activeCell="H9" sqref="H9"/>
    </sheetView>
  </sheetViews>
  <sheetFormatPr defaultRowHeight="14.5"/>
  <cols>
    <col min="1" max="1" width="23.453125" customWidth="1"/>
    <col min="2" max="3" width="9.36328125" customWidth="1"/>
    <col min="6" max="6" width="3.1796875" customWidth="1"/>
    <col min="7" max="7" width="9.54296875" bestFit="1" customWidth="1"/>
  </cols>
  <sheetData>
    <row r="1" spans="1:8" ht="55.5" customHeight="1"/>
    <row r="2" spans="1:8" ht="21">
      <c r="A2" s="851" t="s">
        <v>553</v>
      </c>
      <c r="B2" s="851"/>
      <c r="C2" s="851"/>
      <c r="D2" s="851"/>
      <c r="E2" s="851"/>
      <c r="F2" s="851"/>
      <c r="G2" s="851"/>
      <c r="H2" s="752"/>
    </row>
    <row r="3" spans="1:8" ht="15" thickBot="1"/>
    <row r="4" spans="1:8" ht="44.5" thickTop="1" thickBot="1">
      <c r="B4" s="774" t="s">
        <v>555</v>
      </c>
      <c r="C4" s="775" t="s">
        <v>554</v>
      </c>
      <c r="D4" s="775" t="s">
        <v>331</v>
      </c>
      <c r="E4" s="776" t="s">
        <v>556</v>
      </c>
    </row>
    <row r="5" spans="1:8" ht="15" thickTop="1">
      <c r="A5" s="773" t="s">
        <v>558</v>
      </c>
      <c r="B5" s="759">
        <f>+'New Year-Full Year'!P24</f>
        <v>498500</v>
      </c>
      <c r="C5" s="759">
        <f>+'New Year-Full Year'!U24</f>
        <v>443098.93</v>
      </c>
      <c r="D5" s="759">
        <f>+'New Year-Full Year'!Q24</f>
        <v>500500</v>
      </c>
      <c r="E5" s="760">
        <v>526092</v>
      </c>
    </row>
    <row r="6" spans="1:8">
      <c r="A6" s="761"/>
      <c r="B6" s="753"/>
      <c r="C6" s="753"/>
      <c r="D6" s="753"/>
      <c r="E6" s="762"/>
    </row>
    <row r="7" spans="1:8">
      <c r="A7" s="758" t="s">
        <v>559</v>
      </c>
      <c r="B7" s="753"/>
      <c r="C7" s="753"/>
      <c r="D7" s="753"/>
      <c r="E7" s="762"/>
    </row>
    <row r="8" spans="1:8">
      <c r="A8" s="761" t="s">
        <v>561</v>
      </c>
      <c r="B8" s="763">
        <f>+'New Year-Full Year'!P43</f>
        <v>40040</v>
      </c>
      <c r="C8" s="763">
        <f>+'New Year-Full Year'!U43</f>
        <v>36328.369999999995</v>
      </c>
      <c r="D8" s="763">
        <f>+'New Year-Full Year'!Q43</f>
        <v>40040</v>
      </c>
      <c r="E8" s="764">
        <v>51330</v>
      </c>
    </row>
    <row r="9" spans="1:8">
      <c r="A9" s="761" t="s">
        <v>562</v>
      </c>
      <c r="B9" s="763">
        <f>+'New Year-Full Year'!P104</f>
        <v>52825</v>
      </c>
      <c r="C9" s="763">
        <f>+'New Year-Full Year'!U104</f>
        <v>29183.48</v>
      </c>
      <c r="D9" s="763">
        <f>+'New Year-Full Year'!Q104</f>
        <v>55025</v>
      </c>
      <c r="E9" s="764">
        <v>45980</v>
      </c>
    </row>
    <row r="10" spans="1:8">
      <c r="A10" s="761" t="s">
        <v>563</v>
      </c>
      <c r="B10" s="763">
        <f>+'New Year-Full Year'!P174</f>
        <v>342612</v>
      </c>
      <c r="C10" s="763">
        <f>+'New Year-Full Year'!U174</f>
        <v>239508.38</v>
      </c>
      <c r="D10" s="763">
        <f>+'New Year-Full Year'!Q174</f>
        <v>331619</v>
      </c>
      <c r="E10" s="764">
        <v>322862</v>
      </c>
    </row>
    <row r="11" spans="1:8" ht="16">
      <c r="A11" s="761" t="s">
        <v>564</v>
      </c>
      <c r="B11" s="765">
        <f>+'New Year-Full Year'!P210</f>
        <v>71208</v>
      </c>
      <c r="C11" s="765">
        <f>+'New Year-Full Year'!U210</f>
        <v>62218.729999999996</v>
      </c>
      <c r="D11" s="765">
        <f>+'New Year-Full Year'!Q210</f>
        <v>73800</v>
      </c>
      <c r="E11" s="766">
        <v>81690</v>
      </c>
    </row>
    <row r="12" spans="1:8">
      <c r="A12" s="758" t="s">
        <v>560</v>
      </c>
      <c r="B12" s="759">
        <f>SUM(B8:B11)</f>
        <v>506685</v>
      </c>
      <c r="C12" s="759">
        <f t="shared" ref="C12:E12" si="0">SUM(C8:C11)</f>
        <v>367238.95999999996</v>
      </c>
      <c r="D12" s="759">
        <f t="shared" si="0"/>
        <v>500484</v>
      </c>
      <c r="E12" s="767">
        <f t="shared" si="0"/>
        <v>501862</v>
      </c>
    </row>
    <row r="13" spans="1:8" ht="15" thickBot="1">
      <c r="A13" s="761"/>
      <c r="B13" s="753"/>
      <c r="C13" s="753"/>
      <c r="D13" s="753"/>
      <c r="E13" s="762"/>
    </row>
    <row r="14" spans="1:8" ht="15" thickTop="1">
      <c r="A14" s="758" t="s">
        <v>557</v>
      </c>
      <c r="B14" s="759">
        <f>+B5-B12</f>
        <v>-8185</v>
      </c>
      <c r="C14" s="759">
        <f t="shared" ref="C14:E14" si="1">+C5-C12</f>
        <v>75859.97000000003</v>
      </c>
      <c r="D14" s="759">
        <f t="shared" si="1"/>
        <v>16</v>
      </c>
      <c r="E14" s="767">
        <f t="shared" si="1"/>
        <v>24230</v>
      </c>
      <c r="G14" s="848" t="s">
        <v>571</v>
      </c>
    </row>
    <row r="15" spans="1:8">
      <c r="A15" s="761"/>
      <c r="B15" s="753"/>
      <c r="C15" s="753"/>
      <c r="D15" s="753"/>
      <c r="E15" s="762"/>
      <c r="G15" s="849"/>
      <c r="H15" s="753"/>
    </row>
    <row r="16" spans="1:8" ht="15" thickBot="1">
      <c r="A16" s="758" t="s">
        <v>565</v>
      </c>
      <c r="B16" s="753"/>
      <c r="C16" s="753"/>
      <c r="D16" s="753"/>
      <c r="E16" s="762"/>
      <c r="G16" s="850"/>
      <c r="H16" s="753"/>
    </row>
    <row r="17" spans="1:8" ht="15" thickTop="1">
      <c r="A17" s="761" t="s">
        <v>566</v>
      </c>
      <c r="B17" s="763">
        <f>+'New Year-Full Year'!P214</f>
        <v>-8185</v>
      </c>
      <c r="C17" s="763">
        <f>+'New Year-Full Year'!U214</f>
        <v>0</v>
      </c>
      <c r="D17" s="763">
        <f>+'New Year-Full Year'!Q214</f>
        <v>0</v>
      </c>
      <c r="E17" s="764">
        <v>3000</v>
      </c>
      <c r="G17" s="755">
        <v>87103</v>
      </c>
      <c r="H17" s="753"/>
    </row>
    <row r="18" spans="1:8">
      <c r="A18" s="761" t="s">
        <v>567</v>
      </c>
      <c r="B18" s="763">
        <f>+'New Year-Full Year'!P216</f>
        <v>0</v>
      </c>
      <c r="C18" s="763">
        <f>+'New Year-Full Year'!U216</f>
        <v>0</v>
      </c>
      <c r="D18" s="763">
        <f>+'New Year-Full Year'!Q216</f>
        <v>0</v>
      </c>
      <c r="E18" s="764">
        <v>15230</v>
      </c>
      <c r="G18" s="755">
        <v>214677</v>
      </c>
      <c r="H18" s="753"/>
    </row>
    <row r="19" spans="1:8">
      <c r="A19" s="761" t="s">
        <v>568</v>
      </c>
      <c r="B19" s="763">
        <f>+'New Year-Full Year'!P217</f>
        <v>0</v>
      </c>
      <c r="C19" s="763">
        <f>+'New Year-Full Year'!U217</f>
        <v>0</v>
      </c>
      <c r="D19" s="763">
        <f>+'New Year-Full Year'!Q217</f>
        <v>16</v>
      </c>
      <c r="E19" s="764">
        <v>6000</v>
      </c>
      <c r="G19" s="755">
        <v>33766</v>
      </c>
      <c r="H19" s="753"/>
    </row>
    <row r="20" spans="1:8" ht="16">
      <c r="A20" s="761" t="s">
        <v>569</v>
      </c>
      <c r="B20" s="765">
        <f>+'New Year-Full Year'!P218</f>
        <v>0</v>
      </c>
      <c r="C20" s="765">
        <f>+'New Year-Full Year'!U218</f>
        <v>0</v>
      </c>
      <c r="D20" s="765">
        <f>+'New Year-Full Year'!Q218</f>
        <v>0</v>
      </c>
      <c r="E20" s="766">
        <v>0</v>
      </c>
      <c r="G20" s="756">
        <v>55103</v>
      </c>
      <c r="H20" s="753"/>
    </row>
    <row r="21" spans="1:8" ht="15" thickBot="1">
      <c r="A21" s="758" t="s">
        <v>81</v>
      </c>
      <c r="B21" s="768">
        <f>SUM(B17:B20)</f>
        <v>-8185</v>
      </c>
      <c r="C21" s="768">
        <f t="shared" ref="C21:E21" si="2">SUM(C17:C20)</f>
        <v>0</v>
      </c>
      <c r="D21" s="768">
        <f t="shared" si="2"/>
        <v>16</v>
      </c>
      <c r="E21" s="769">
        <f t="shared" si="2"/>
        <v>24230</v>
      </c>
      <c r="F21" s="754"/>
      <c r="G21" s="757">
        <f t="shared" ref="G21" si="3">SUM(G17:G20)</f>
        <v>390649</v>
      </c>
      <c r="H21" s="753"/>
    </row>
    <row r="22" spans="1:8" ht="15" thickTop="1">
      <c r="A22" s="761"/>
      <c r="B22" s="777"/>
      <c r="C22" s="777"/>
      <c r="D22" s="777"/>
      <c r="E22" s="778"/>
    </row>
    <row r="23" spans="1:8" ht="15" thickBot="1">
      <c r="A23" s="770" t="s">
        <v>570</v>
      </c>
      <c r="B23" s="771">
        <f>+B14-B21</f>
        <v>0</v>
      </c>
      <c r="C23" s="771">
        <f t="shared" ref="C23:E23" si="4">+C14-C21</f>
        <v>75859.97000000003</v>
      </c>
      <c r="D23" s="771">
        <f t="shared" si="4"/>
        <v>0</v>
      </c>
      <c r="E23" s="772">
        <f t="shared" si="4"/>
        <v>0</v>
      </c>
    </row>
    <row r="24" spans="1:8" ht="15" thickTop="1"/>
  </sheetData>
  <mergeCells count="2">
    <mergeCell ref="G14:G16"/>
    <mergeCell ref="A2: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P212" activePane="bottomRight" state="frozen"/>
      <selection activeCell="I112" sqref="I112"/>
      <selection pane="topRight" activeCell="I112" sqref="I112"/>
      <selection pane="bottomLeft" activeCell="I112" sqref="I112"/>
      <selection pane="bottomRight" activeCell="P171" sqref="P171"/>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customWidth="1" outlineLevel="1"/>
    <col min="6" max="6" width="11.36328125" style="39" customWidth="1" outlineLevel="1"/>
    <col min="7" max="7" width="8.6328125" style="39" customWidth="1" outlineLevel="1"/>
    <col min="8" max="8" width="10" style="39"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customWidth="1" outlineLevel="1" collapsed="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831" t="s">
        <v>87</v>
      </c>
      <c r="C1" s="831"/>
      <c r="D1" s="831"/>
      <c r="E1" s="831"/>
      <c r="F1" s="831"/>
      <c r="G1" s="831"/>
      <c r="H1" s="831"/>
      <c r="I1" s="831"/>
      <c r="J1" s="831"/>
      <c r="K1" s="831"/>
      <c r="L1" s="831"/>
      <c r="M1" s="831"/>
      <c r="N1" s="831"/>
      <c r="O1" s="831"/>
      <c r="P1" s="831"/>
      <c r="Q1" s="831"/>
      <c r="R1" s="831"/>
      <c r="S1" s="831"/>
      <c r="T1" s="831"/>
      <c r="U1" s="831"/>
      <c r="V1" s="831"/>
      <c r="W1" s="831"/>
      <c r="X1" s="831"/>
      <c r="Y1" s="1"/>
    </row>
    <row r="2" spans="1:37" ht="23.25" customHeight="1">
      <c r="P2" s="836" t="s">
        <v>86</v>
      </c>
      <c r="Q2" s="837"/>
      <c r="R2" s="837"/>
      <c r="S2" s="838"/>
      <c r="U2" s="856" t="str">
        <f>Bud_Yr-1&amp;" Year to Date (YTD)"</f>
        <v>2020 Year to Date (YTD)</v>
      </c>
      <c r="V2" s="857"/>
      <c r="W2" s="858"/>
    </row>
    <row r="3" spans="1:37" ht="27.65" customHeight="1">
      <c r="P3" s="865" t="str">
        <f>Bud_Yr&amp;" Budget"</f>
        <v>2021 Budget</v>
      </c>
      <c r="Q3" s="866" t="str">
        <f>Bud_Yr-1&amp;" Budget"</f>
        <v>2020 Budget</v>
      </c>
      <c r="R3" s="859" t="str">
        <f>Bud_Yr&amp;" Budget vs             "&amp;Bud_Yr-1&amp;" Budget"</f>
        <v>2021 Budget vs             2020 Budget</v>
      </c>
      <c r="S3" s="860"/>
      <c r="T3" s="50"/>
      <c r="U3" s="861" t="s">
        <v>529</v>
      </c>
      <c r="V3" s="863" t="s">
        <v>530</v>
      </c>
      <c r="W3" s="846" t="s">
        <v>85</v>
      </c>
      <c r="AD3" s="852" t="str">
        <f>Bud_Yr&amp;" Budget"</f>
        <v>2021 Budget</v>
      </c>
      <c r="AE3" s="853"/>
      <c r="AF3" s="853"/>
      <c r="AG3" s="854"/>
      <c r="AH3" s="852" t="str">
        <f>+U3</f>
        <v>Nov 2020 YTD Actual</v>
      </c>
      <c r="AI3" s="853"/>
      <c r="AJ3" s="853"/>
      <c r="AK3" s="854"/>
    </row>
    <row r="4" spans="1:37" s="2" customFormat="1">
      <c r="A4" s="44"/>
      <c r="D4" s="15"/>
      <c r="E4" s="80"/>
      <c r="F4" s="81"/>
      <c r="G4" s="81"/>
      <c r="H4" s="81"/>
      <c r="I4" s="81"/>
      <c r="J4" s="81"/>
      <c r="K4" s="81"/>
      <c r="L4" s="81"/>
      <c r="M4" s="81"/>
      <c r="N4" s="81"/>
      <c r="P4" s="852"/>
      <c r="Q4" s="853"/>
      <c r="R4" s="49" t="s">
        <v>113</v>
      </c>
      <c r="S4" s="51" t="s">
        <v>114</v>
      </c>
      <c r="U4" s="862"/>
      <c r="V4" s="864"/>
      <c r="W4" s="847"/>
      <c r="X4" s="56" t="str">
        <f>Bud_Yr&amp;" Budget Notes"</f>
        <v>2021 Budget Notes</v>
      </c>
      <c r="Y4" s="6" t="s">
        <v>115</v>
      </c>
      <c r="AD4" s="406" t="s">
        <v>429</v>
      </c>
      <c r="AE4" s="407" t="s">
        <v>322</v>
      </c>
      <c r="AF4" s="407" t="s">
        <v>323</v>
      </c>
      <c r="AG4" s="407" t="s">
        <v>324</v>
      </c>
      <c r="AH4" s="406" t="s">
        <v>429</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8" t="s">
        <v>1</v>
      </c>
      <c r="D7" s="419"/>
      <c r="E7" s="420"/>
      <c r="F7" s="421"/>
      <c r="G7" s="421"/>
      <c r="H7" s="421"/>
      <c r="I7" s="421"/>
      <c r="J7" s="421"/>
      <c r="K7" s="421"/>
      <c r="L7" s="421"/>
      <c r="M7" s="421"/>
      <c r="N7" s="421"/>
      <c r="O7" s="418"/>
      <c r="P7" s="426">
        <f>475000+2000</f>
        <v>477000</v>
      </c>
      <c r="Q7" s="422">
        <v>477000</v>
      </c>
      <c r="R7" s="423">
        <f t="shared" ref="R7:R14" si="0">+P7-Q7</f>
        <v>0</v>
      </c>
      <c r="S7" s="424">
        <f t="shared" ref="S7:S15" si="1">IF(Q7=0,"NA",(+P7-Q7)/Q7)</f>
        <v>0</v>
      </c>
      <c r="T7" s="418"/>
      <c r="U7" s="422">
        <v>432376.74</v>
      </c>
      <c r="V7" s="422">
        <v>435193.14</v>
      </c>
      <c r="W7" s="424">
        <f t="shared" ref="W7:W15" si="2">IF(V7=0,"NA",(+U7-V7)/V7)</f>
        <v>-6.4716093640630988E-3</v>
      </c>
      <c r="X7" s="687" t="s">
        <v>515</v>
      </c>
      <c r="Y7" s="58" t="s">
        <v>123</v>
      </c>
    </row>
    <row r="8" spans="1:37">
      <c r="C8" s="418"/>
      <c r="D8" s="419"/>
      <c r="E8" s="420"/>
      <c r="F8" s="421"/>
      <c r="G8" s="421"/>
      <c r="H8" s="421"/>
      <c r="I8" s="421"/>
      <c r="J8" s="421"/>
      <c r="K8" s="421"/>
      <c r="L8" s="421"/>
      <c r="M8" s="421"/>
      <c r="N8" s="421"/>
      <c r="O8" s="418"/>
      <c r="P8" s="426"/>
      <c r="Q8" s="422"/>
      <c r="R8" s="423"/>
      <c r="S8" s="424"/>
      <c r="T8" s="418"/>
      <c r="U8" s="422"/>
      <c r="V8" s="422"/>
      <c r="W8" s="424"/>
      <c r="X8" s="690" t="s">
        <v>502</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486</v>
      </c>
      <c r="Y9" s="58"/>
    </row>
    <row r="10" spans="1:37">
      <c r="C10" s="248" t="s">
        <v>431</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170</v>
      </c>
      <c r="V12" s="245">
        <v>1000</v>
      </c>
      <c r="W12" s="247">
        <f t="shared" si="2"/>
        <v>-0.83</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436905.44</v>
      </c>
      <c r="V15" s="10">
        <f>SUM(V7:V14)</f>
        <v>442693.14</v>
      </c>
      <c r="W15" s="11">
        <f t="shared" si="2"/>
        <v>-1.3073841623116209E-2</v>
      </c>
      <c r="X15" s="73"/>
      <c r="Y15" s="59"/>
    </row>
    <row r="16" spans="1:37" ht="5.25" customHeight="1">
      <c r="A16" s="43">
        <v>9</v>
      </c>
      <c r="S16" s="5"/>
      <c r="X16" s="73"/>
      <c r="Y16" s="59"/>
    </row>
    <row r="17" spans="1:26">
      <c r="A17" s="43">
        <v>10</v>
      </c>
      <c r="B17" s="2" t="s">
        <v>7</v>
      </c>
      <c r="S17" s="5"/>
      <c r="X17" s="73"/>
      <c r="Y17" s="59"/>
    </row>
    <row r="18" spans="1:26">
      <c r="A18" s="43">
        <v>11</v>
      </c>
      <c r="C18" s="243" t="s">
        <v>413</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2298.99+3893.08</f>
        <v>6192.07</v>
      </c>
      <c r="V18" s="240">
        <v>10083.370000000001</v>
      </c>
      <c r="W18" s="242">
        <f t="shared" ref="W18:W24" si="4">IF(V18=0,"NA",(+U18-V18)/V18)</f>
        <v>-0.38591264626806321</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6193.49</v>
      </c>
      <c r="V23" s="10">
        <f>SUM(V18:V22)</f>
        <v>10083.370000000001</v>
      </c>
      <c r="W23" s="11">
        <f t="shared" si="4"/>
        <v>-0.38577182033387653</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443098.93</v>
      </c>
      <c r="V24" s="10">
        <f>+V15+V23</f>
        <v>452776.51</v>
      </c>
      <c r="W24" s="11">
        <f t="shared" si="4"/>
        <v>-2.1373856165815705E-2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417</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27890.87</v>
      </c>
      <c r="V28" s="240">
        <v>26390.87</v>
      </c>
      <c r="W28" s="242">
        <f t="shared" ref="W28:W38" si="7">IF(V28=0,"NA",(+U28-V28)/V28)</f>
        <v>5.6837838237238862E-2</v>
      </c>
      <c r="X28" s="244" t="s">
        <v>476</v>
      </c>
      <c r="Y28" s="59"/>
    </row>
    <row r="29" spans="1:26" ht="18.5">
      <c r="B29" s="7"/>
      <c r="C29" s="248" t="s">
        <v>418</v>
      </c>
      <c r="D29" s="258"/>
      <c r="E29" s="259"/>
      <c r="F29" s="260"/>
      <c r="G29" s="260"/>
      <c r="H29" s="260"/>
      <c r="I29" s="260"/>
      <c r="J29" s="260"/>
      <c r="K29" s="260"/>
      <c r="L29" s="260"/>
      <c r="M29" s="260"/>
      <c r="N29" s="260"/>
      <c r="O29" s="248"/>
      <c r="P29" s="266">
        <v>3000</v>
      </c>
      <c r="Q29" s="266">
        <v>6000</v>
      </c>
      <c r="R29" s="241">
        <f t="shared" si="5"/>
        <v>-3000</v>
      </c>
      <c r="S29" s="242">
        <f t="shared" si="6"/>
        <v>-0.5</v>
      </c>
      <c r="T29" s="243"/>
      <c r="U29" s="240">
        <f>1762.5+2737.5</f>
        <v>4500</v>
      </c>
      <c r="V29" s="240">
        <f>1762.5+2737.5</f>
        <v>4500</v>
      </c>
      <c r="W29" s="242">
        <f t="shared" si="7"/>
        <v>0</v>
      </c>
      <c r="X29" s="696" t="s">
        <v>522</v>
      </c>
      <c r="Y29" s="59"/>
    </row>
    <row r="30" spans="1:26" ht="18.5">
      <c r="B30" s="7"/>
      <c r="C30" s="248" t="s">
        <v>419</v>
      </c>
      <c r="D30" s="258"/>
      <c r="E30" s="259"/>
      <c r="F30" s="260"/>
      <c r="G30" s="260"/>
      <c r="H30" s="260"/>
      <c r="I30" s="260"/>
      <c r="J30" s="260"/>
      <c r="K30" s="260"/>
      <c r="L30" s="260"/>
      <c r="M30" s="260"/>
      <c r="N30" s="260"/>
      <c r="O30" s="248"/>
      <c r="P30" s="266">
        <v>1000</v>
      </c>
      <c r="Q30" s="266">
        <v>500</v>
      </c>
      <c r="R30" s="241">
        <f t="shared" si="5"/>
        <v>500</v>
      </c>
      <c r="S30" s="242">
        <f t="shared" si="6"/>
        <v>1</v>
      </c>
      <c r="T30" s="243"/>
      <c r="U30" s="240">
        <v>375</v>
      </c>
      <c r="V30" s="240">
        <v>375</v>
      </c>
      <c r="W30" s="242">
        <f t="shared" si="7"/>
        <v>0</v>
      </c>
      <c r="X30" s="244" t="s">
        <v>477</v>
      </c>
      <c r="Y30" s="59"/>
    </row>
    <row r="31" spans="1:26" ht="18.5">
      <c r="B31" s="7"/>
      <c r="C31" s="248" t="s">
        <v>427</v>
      </c>
      <c r="D31" s="258"/>
      <c r="E31" s="259"/>
      <c r="F31" s="260"/>
      <c r="G31" s="260"/>
      <c r="H31" s="260"/>
      <c r="I31" s="260"/>
      <c r="J31" s="260"/>
      <c r="K31" s="260"/>
      <c r="L31" s="260"/>
      <c r="M31" s="260"/>
      <c r="N31" s="260"/>
      <c r="O31" s="248"/>
      <c r="P31" s="266">
        <v>2000</v>
      </c>
      <c r="Q31" s="266">
        <v>1000</v>
      </c>
      <c r="R31" s="241">
        <f t="shared" si="5"/>
        <v>1000</v>
      </c>
      <c r="S31" s="242">
        <f t="shared" si="6"/>
        <v>1</v>
      </c>
      <c r="T31" s="243"/>
      <c r="U31" s="240">
        <v>750</v>
      </c>
      <c r="V31" s="240">
        <v>750</v>
      </c>
      <c r="W31" s="242">
        <f t="shared" si="7"/>
        <v>0</v>
      </c>
      <c r="X31" s="244" t="s">
        <v>479</v>
      </c>
      <c r="Y31" s="59"/>
    </row>
    <row r="32" spans="1:26" ht="18.5">
      <c r="B32" s="7"/>
      <c r="C32" s="248" t="s">
        <v>420</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421</v>
      </c>
      <c r="D33" s="258"/>
      <c r="E33" s="259"/>
      <c r="F33" s="260"/>
      <c r="G33" s="260"/>
      <c r="H33" s="260"/>
      <c r="I33" s="260"/>
      <c r="J33" s="260"/>
      <c r="K33" s="260"/>
      <c r="L33" s="260"/>
      <c r="M33" s="260"/>
      <c r="N33" s="260"/>
      <c r="O33" s="248"/>
      <c r="P33" s="266">
        <v>1000</v>
      </c>
      <c r="Q33" s="266">
        <v>500</v>
      </c>
      <c r="R33" s="241">
        <f t="shared" si="5"/>
        <v>500</v>
      </c>
      <c r="S33" s="242">
        <f t="shared" si="6"/>
        <v>1</v>
      </c>
      <c r="T33" s="243"/>
      <c r="U33" s="240">
        <v>375</v>
      </c>
      <c r="V33" s="240">
        <v>375</v>
      </c>
      <c r="W33" s="242">
        <f t="shared" si="7"/>
        <v>0</v>
      </c>
      <c r="X33" s="244"/>
      <c r="Y33" s="59"/>
    </row>
    <row r="34" spans="1:37" ht="18.5">
      <c r="B34" s="7"/>
      <c r="C34" s="248" t="s">
        <v>422</v>
      </c>
      <c r="D34" s="258"/>
      <c r="E34" s="259"/>
      <c r="F34" s="260"/>
      <c r="G34" s="260"/>
      <c r="H34" s="260"/>
      <c r="I34" s="260"/>
      <c r="J34" s="260"/>
      <c r="K34" s="260"/>
      <c r="L34" s="260"/>
      <c r="M34" s="260"/>
      <c r="N34" s="260"/>
      <c r="O34" s="248"/>
      <c r="P34" s="266">
        <v>1500</v>
      </c>
      <c r="Q34" s="266">
        <v>1000</v>
      </c>
      <c r="R34" s="241">
        <f t="shared" si="5"/>
        <v>500</v>
      </c>
      <c r="S34" s="242">
        <f t="shared" si="6"/>
        <v>0.5</v>
      </c>
      <c r="T34" s="243"/>
      <c r="U34" s="240">
        <v>750</v>
      </c>
      <c r="V34" s="240">
        <v>750</v>
      </c>
      <c r="W34" s="242">
        <f t="shared" si="7"/>
        <v>0</v>
      </c>
      <c r="X34" s="244" t="s">
        <v>478</v>
      </c>
      <c r="Y34" s="59"/>
    </row>
    <row r="35" spans="1:37" ht="18.5">
      <c r="B35" s="7"/>
      <c r="C35" s="248" t="s">
        <v>423</v>
      </c>
      <c r="D35" s="258"/>
      <c r="E35" s="259"/>
      <c r="F35" s="260"/>
      <c r="G35" s="260"/>
      <c r="H35" s="260"/>
      <c r="I35" s="260"/>
      <c r="J35" s="260"/>
      <c r="K35" s="260"/>
      <c r="L35" s="260"/>
      <c r="M35" s="260"/>
      <c r="N35" s="260"/>
      <c r="O35" s="248"/>
      <c r="P35" s="266">
        <v>1500</v>
      </c>
      <c r="Q35" s="266">
        <v>1000</v>
      </c>
      <c r="R35" s="241">
        <f t="shared" si="5"/>
        <v>500</v>
      </c>
      <c r="S35" s="242">
        <f t="shared" si="6"/>
        <v>0.5</v>
      </c>
      <c r="T35" s="243"/>
      <c r="U35" s="240">
        <v>750</v>
      </c>
      <c r="V35" s="240">
        <v>750</v>
      </c>
      <c r="W35" s="242">
        <f t="shared" si="7"/>
        <v>0</v>
      </c>
      <c r="X35" s="244" t="s">
        <v>477</v>
      </c>
      <c r="Y35" s="59"/>
    </row>
    <row r="36" spans="1:37" ht="18.5">
      <c r="B36" s="7"/>
      <c r="C36" s="248" t="s">
        <v>424</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478</v>
      </c>
      <c r="Y36" s="59"/>
    </row>
    <row r="37" spans="1:37" ht="19.5" customHeight="1">
      <c r="B37" s="7"/>
      <c r="C37" s="248" t="s">
        <v>480</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477</v>
      </c>
      <c r="Y37" s="59"/>
    </row>
    <row r="38" spans="1:37" ht="18.5" hidden="1">
      <c r="B38" s="7"/>
      <c r="C38" s="248" t="s">
        <v>425</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4">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3">
        <f>SUM(U28:U38)</f>
        <v>36328.369999999995</v>
      </c>
      <c r="V43" s="603">
        <f>SUM(V28:V38)</f>
        <v>34828.369999999995</v>
      </c>
      <c r="W43" s="14">
        <f>IF(V43=0,"NA",(+U43-V43)/V43)</f>
        <v>4.3068337679885688E-2</v>
      </c>
      <c r="X43" s="64" t="s">
        <v>396</v>
      </c>
      <c r="Y43" s="60"/>
      <c r="Z43" s="2" t="s">
        <v>474</v>
      </c>
      <c r="AF43" s="1">
        <f>+$P43</f>
        <v>40040</v>
      </c>
      <c r="AG43" s="1"/>
      <c r="AJ43" s="1">
        <f>+$U43</f>
        <v>36328.369999999995</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2"/>
      <c r="Q45" s="17"/>
      <c r="R45" s="15"/>
      <c r="S45" s="18"/>
      <c r="T45" s="1"/>
      <c r="U45" s="15"/>
      <c r="V45" s="15"/>
      <c r="W45" s="18"/>
      <c r="X45" s="74"/>
      <c r="Y45" s="61"/>
    </row>
    <row r="46" spans="1:37">
      <c r="A46" s="43">
        <v>29</v>
      </c>
      <c r="B46" s="2" t="s">
        <v>16</v>
      </c>
      <c r="S46" s="5"/>
      <c r="X46" s="73"/>
      <c r="Y46" s="59"/>
    </row>
    <row r="47" spans="1:37" ht="14" customHeight="1">
      <c r="A47" s="43">
        <v>30</v>
      </c>
      <c r="C47" s="418" t="s">
        <v>84</v>
      </c>
      <c r="D47" s="419"/>
      <c r="E47" s="420"/>
      <c r="F47" s="421"/>
      <c r="G47" s="421"/>
      <c r="H47" s="421"/>
      <c r="I47" s="421"/>
      <c r="J47" s="421"/>
      <c r="K47" s="421"/>
      <c r="L47" s="421"/>
      <c r="M47" s="421"/>
      <c r="N47" s="421"/>
      <c r="O47" s="418"/>
      <c r="P47" s="422">
        <v>2300</v>
      </c>
      <c r="Q47" s="422">
        <v>2300</v>
      </c>
      <c r="R47" s="423">
        <f t="shared" ref="R47:R59" si="9">+P47-Q47</f>
        <v>0</v>
      </c>
      <c r="S47" s="424">
        <f t="shared" ref="S47:S61" si="10">IF(Q47=0,"NA",(+P47-Q47)/Q47)</f>
        <v>0</v>
      </c>
      <c r="T47" s="418"/>
      <c r="U47" s="422">
        <v>1443.83</v>
      </c>
      <c r="V47" s="422">
        <v>2044.44</v>
      </c>
      <c r="W47" s="424">
        <f t="shared" ref="W47:W61" si="11">IF(V47=0,"NA",(+U47-V47)/V47)</f>
        <v>-0.29377726908101981</v>
      </c>
      <c r="X47" s="583" t="s">
        <v>481</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5"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83.7</v>
      </c>
      <c r="V49" s="250">
        <v>1000</v>
      </c>
      <c r="W49" s="252">
        <f t="shared" si="11"/>
        <v>-0.9163</v>
      </c>
      <c r="X49" s="685" t="s">
        <v>484</v>
      </c>
      <c r="Y49" s="62" t="s">
        <v>126</v>
      </c>
      <c r="AE49" s="1">
        <f t="shared" ref="AE49:AE59" si="12">+$P49</f>
        <v>1000</v>
      </c>
      <c r="AI49" s="1">
        <f t="shared" ref="AI49:AI59" si="13">+$U49</f>
        <v>83.7</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5"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4" t="s">
        <v>481</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5"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4" t="s">
        <v>481</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4" t="s">
        <v>481</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249.8</v>
      </c>
      <c r="V57" s="250">
        <v>504.13</v>
      </c>
      <c r="W57" s="252">
        <f>IF(V57=0,"NA",(+U57-V57)/V57)</f>
        <v>-0.50449288873901565</v>
      </c>
      <c r="X57" s="684" t="s">
        <v>481</v>
      </c>
      <c r="Y57" s="62" t="s">
        <v>130</v>
      </c>
      <c r="AE57" s="1">
        <f t="shared" si="12"/>
        <v>550</v>
      </c>
      <c r="AI57" s="1">
        <f t="shared" si="13"/>
        <v>249.8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482</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229.13</v>
      </c>
      <c r="W59" s="252">
        <f t="shared" si="11"/>
        <v>-1</v>
      </c>
      <c r="X59" s="684" t="s">
        <v>481</v>
      </c>
      <c r="Y59" s="62" t="s">
        <v>131</v>
      </c>
      <c r="AE59" s="1">
        <f t="shared" si="12"/>
        <v>250</v>
      </c>
      <c r="AI59" s="1">
        <f t="shared" si="13"/>
        <v>0</v>
      </c>
    </row>
    <row r="60" spans="1:35" ht="14.5" customHeight="1">
      <c r="C60" s="418"/>
      <c r="D60" s="419"/>
      <c r="E60" s="420"/>
      <c r="F60" s="421"/>
      <c r="G60" s="421"/>
      <c r="H60" s="421"/>
      <c r="I60" s="421"/>
      <c r="J60" s="421"/>
      <c r="K60" s="421"/>
      <c r="L60" s="421"/>
      <c r="M60" s="421"/>
      <c r="N60" s="421"/>
      <c r="O60" s="418"/>
      <c r="P60" s="422"/>
      <c r="Q60" s="422"/>
      <c r="R60" s="423"/>
      <c r="S60" s="424"/>
      <c r="T60" s="418"/>
      <c r="U60" s="422"/>
      <c r="V60" s="422"/>
      <c r="W60" s="424"/>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1854.25</v>
      </c>
      <c r="V61" s="37">
        <f>SUM(V47:V59)</f>
        <v>4227.7</v>
      </c>
      <c r="W61" s="21">
        <f t="shared" si="11"/>
        <v>-0.56140454620715752</v>
      </c>
      <c r="X61" s="250"/>
      <c r="Y61" s="61"/>
    </row>
    <row r="62" spans="1:35" ht="6" customHeight="1">
      <c r="A62" s="43">
        <v>37</v>
      </c>
      <c r="S62" s="5"/>
      <c r="X62" s="73"/>
      <c r="Y62" s="59"/>
    </row>
    <row r="63" spans="1:35">
      <c r="A63" s="43">
        <v>40</v>
      </c>
      <c r="B63" s="2" t="s">
        <v>152</v>
      </c>
      <c r="S63" s="5"/>
      <c r="X63" s="73"/>
      <c r="Y63" s="59"/>
    </row>
    <row r="64" spans="1:35" ht="14" customHeight="1">
      <c r="A64" s="43">
        <v>41</v>
      </c>
      <c r="C64" s="418" t="s">
        <v>21</v>
      </c>
      <c r="D64" s="419"/>
      <c r="E64" s="420"/>
      <c r="F64" s="421"/>
      <c r="G64" s="421"/>
      <c r="H64" s="421"/>
      <c r="I64" s="421"/>
      <c r="J64" s="421"/>
      <c r="K64" s="421"/>
      <c r="L64" s="421"/>
      <c r="M64" s="421"/>
      <c r="N64" s="421"/>
      <c r="O64" s="418"/>
      <c r="P64" s="426">
        <v>3500</v>
      </c>
      <c r="Q64" s="426">
        <v>3500</v>
      </c>
      <c r="R64" s="423">
        <f>+P64-Q64</f>
        <v>0</v>
      </c>
      <c r="S64" s="424">
        <f>IF(Q64=0,"NA",(+P64-Q64)/Q64)</f>
        <v>0</v>
      </c>
      <c r="T64" s="418"/>
      <c r="U64" s="422">
        <v>2483.39</v>
      </c>
      <c r="V64" s="422">
        <v>3208.37</v>
      </c>
      <c r="W64" s="424">
        <f>IF(V64=0,"NA",(+U64-V64)/V64)</f>
        <v>-0.22596520974825224</v>
      </c>
      <c r="X64" s="583" t="s">
        <v>481</v>
      </c>
      <c r="Y64" s="62" t="s">
        <v>145</v>
      </c>
      <c r="AD64" s="1">
        <f>+$P64</f>
        <v>3500</v>
      </c>
      <c r="AH64" s="1">
        <f>+$U64</f>
        <v>2483.39</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483</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91.63</v>
      </c>
      <c r="W66" s="247">
        <f>IF(V66=0,"NA",(+U66-V66)/V66)</f>
        <v>-1</v>
      </c>
      <c r="X66" s="686" t="s">
        <v>481</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183.37</v>
      </c>
      <c r="W67" s="247">
        <f>IF(V67=0,"NA",(+U67-V67)/V67)</f>
        <v>-0.46828816054970823</v>
      </c>
      <c r="X67" s="686" t="s">
        <v>481</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2580.89</v>
      </c>
      <c r="V68" s="37">
        <f>SUM(V64:V67)</f>
        <v>3483.37</v>
      </c>
      <c r="W68" s="21">
        <f>IF(V68=0,"NA",(+U68-V68)/V68)</f>
        <v>-0.25908244028053296</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3817.03</v>
      </c>
      <c r="V70" s="48">
        <v>11733.37</v>
      </c>
      <c r="W70" s="21">
        <f>IF(V70=0,"NA",(+U70-V70)/V70)</f>
        <v>-0.67468595978819379</v>
      </c>
      <c r="X70" s="583" t="s">
        <v>481</v>
      </c>
      <c r="Y70" s="58"/>
      <c r="AE70" s="1">
        <f>+$P70</f>
        <v>12800</v>
      </c>
      <c r="AI70" s="1">
        <f>+$U70</f>
        <v>3817.03</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485</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8" t="s">
        <v>96</v>
      </c>
      <c r="D75" s="419"/>
      <c r="E75" s="420"/>
      <c r="F75" s="421"/>
      <c r="G75" s="421"/>
      <c r="H75" s="421"/>
      <c r="I75" s="421"/>
      <c r="J75" s="421"/>
      <c r="K75" s="421"/>
      <c r="L75" s="421"/>
      <c r="M75" s="421"/>
      <c r="N75" s="421"/>
      <c r="O75" s="418"/>
      <c r="P75" s="422">
        <v>400</v>
      </c>
      <c r="Q75" s="422">
        <v>400</v>
      </c>
      <c r="R75" s="423">
        <f>+P75-Q75</f>
        <v>0</v>
      </c>
      <c r="S75" s="424">
        <f>IF(Q75=0,"NA",(+P75-Q75)/Q75)</f>
        <v>0</v>
      </c>
      <c r="T75" s="418"/>
      <c r="U75" s="422">
        <v>0</v>
      </c>
      <c r="V75" s="422">
        <v>366.63</v>
      </c>
      <c r="W75" s="424">
        <f>IF(V75=0,"NA",(+U75-V75)/V75)</f>
        <v>-1</v>
      </c>
      <c r="X75" s="583" t="s">
        <v>481</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137.5</v>
      </c>
      <c r="W77" s="252">
        <f>IF(V77=0,"NA",(+U77-V77)/V77)</f>
        <v>-0.81309090909090909</v>
      </c>
      <c r="X77" s="684" t="s">
        <v>481</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487</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504.13</v>
      </c>
      <c r="W79" s="21">
        <f>IF(V79=0,"NA",(+U79-V79)/V79)</f>
        <v>-0.94902108583103562</v>
      </c>
      <c r="X79" s="74"/>
      <c r="Y79" s="61"/>
    </row>
    <row r="80" spans="1:35" ht="5.25" customHeight="1">
      <c r="A80" s="43">
        <v>57</v>
      </c>
      <c r="S80" s="5"/>
      <c r="X80" s="73"/>
      <c r="Y80" s="59"/>
    </row>
    <row r="81" spans="1:36" ht="14" customHeight="1">
      <c r="A81" s="43">
        <v>58</v>
      </c>
      <c r="B81" s="37" t="s">
        <v>414</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183.37</v>
      </c>
      <c r="W81" s="21">
        <f>IF(V81=0,"NA",(+U81-V81)/V81)</f>
        <v>-0.17085673774336049</v>
      </c>
      <c r="X81" s="684" t="s">
        <v>481</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395</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4" t="s">
        <v>481</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492.92</v>
      </c>
      <c r="V86" s="245">
        <v>700</v>
      </c>
      <c r="W86" s="247">
        <f t="shared" si="16"/>
        <v>-0.29582857142857139</v>
      </c>
      <c r="X86" s="686" t="s">
        <v>504</v>
      </c>
      <c r="Y86" s="63" t="s">
        <v>118</v>
      </c>
      <c r="AD86" s="1">
        <f>+$P86</f>
        <v>500</v>
      </c>
      <c r="AH86" s="1">
        <f>+$U86</f>
        <v>492.92</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4" t="s">
        <v>488</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489</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2750</v>
      </c>
      <c r="W89" s="247">
        <f t="shared" si="16"/>
        <v>-0.92363636363636359</v>
      </c>
      <c r="X89" s="249" t="s">
        <v>490</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183.37</v>
      </c>
      <c r="W90" s="247">
        <f>IF(V90=0,"NA",(+U90-V90)/V90)</f>
        <v>-1</v>
      </c>
      <c r="X90" s="684" t="s">
        <v>481</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1443.75</v>
      </c>
      <c r="W91" s="252">
        <f t="shared" si="16"/>
        <v>-1</v>
      </c>
      <c r="X91" s="684" t="s">
        <v>481</v>
      </c>
      <c r="Y91" s="58" t="s">
        <v>118</v>
      </c>
      <c r="AD91" s="1">
        <f>+$P91</f>
        <v>1575</v>
      </c>
      <c r="AH91" s="1">
        <f t="shared" si="17"/>
        <v>0</v>
      </c>
    </row>
    <row r="92" spans="1:36" ht="43.5">
      <c r="C92" s="418"/>
      <c r="D92" s="419"/>
      <c r="E92" s="420"/>
      <c r="F92" s="421"/>
      <c r="G92" s="421"/>
      <c r="H92" s="421"/>
      <c r="I92" s="421"/>
      <c r="J92" s="421"/>
      <c r="K92" s="421"/>
      <c r="L92" s="421"/>
      <c r="M92" s="421"/>
      <c r="N92" s="421"/>
      <c r="O92" s="418"/>
      <c r="P92" s="426"/>
      <c r="Q92" s="426"/>
      <c r="R92" s="423"/>
      <c r="S92" s="424"/>
      <c r="T92" s="418"/>
      <c r="U92" s="426"/>
      <c r="V92" s="426"/>
      <c r="W92" s="424"/>
      <c r="X92" s="425" t="s">
        <v>491</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6277.12</v>
      </c>
      <c r="W93" s="21">
        <f t="shared" si="16"/>
        <v>-0.85583993933523661</v>
      </c>
      <c r="X93" s="74"/>
      <c r="Y93" s="61"/>
    </row>
    <row r="94" spans="1:36" ht="6" customHeight="1">
      <c r="A94" s="43">
        <v>67</v>
      </c>
      <c r="S94" s="5"/>
      <c r="X94" s="73"/>
      <c r="Y94" s="59"/>
    </row>
    <row r="95" spans="1:36">
      <c r="A95" s="43">
        <v>68</v>
      </c>
      <c r="B95" s="2" t="s">
        <v>32</v>
      </c>
      <c r="S95" s="5"/>
      <c r="X95" s="73"/>
      <c r="Y95" s="59"/>
      <c r="AD95" s="596">
        <v>0.33300000000000002</v>
      </c>
      <c r="AE95" s="596">
        <v>0.33300000000000002</v>
      </c>
      <c r="AF95" s="596">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3208.37</v>
      </c>
      <c r="W96" s="242">
        <f t="shared" ref="W96:W104" si="20">IF(V96=0,"NA",(+U96-V96)/V96)</f>
        <v>-0.26683643096026943</v>
      </c>
      <c r="X96" s="244"/>
      <c r="Y96" s="62" t="s">
        <v>376</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2062.5</v>
      </c>
      <c r="W97" s="247">
        <f t="shared" si="20"/>
        <v>0.68581818181818177</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12041.22</v>
      </c>
      <c r="V98" s="250">
        <v>11916.63</v>
      </c>
      <c r="W98" s="252">
        <f t="shared" si="20"/>
        <v>1.0455137064757414E-2</v>
      </c>
      <c r="X98" s="685" t="s">
        <v>498</v>
      </c>
      <c r="Y98" s="62" t="s">
        <v>140</v>
      </c>
      <c r="AD98" s="1">
        <f t="shared" ref="AD98:AD102" si="23">+$P98*AD$95</f>
        <v>4329</v>
      </c>
      <c r="AE98" s="1">
        <f t="shared" si="21"/>
        <v>4329</v>
      </c>
      <c r="AF98" s="1">
        <f t="shared" si="21"/>
        <v>4342</v>
      </c>
      <c r="AH98" s="1">
        <f t="shared" si="22"/>
        <v>12041.22</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492</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1100</v>
      </c>
      <c r="W100" s="247">
        <f t="shared" si="20"/>
        <v>-0.47523636363636362</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869" t="s">
        <v>162</v>
      </c>
      <c r="F101" s="870"/>
      <c r="G101" s="870"/>
      <c r="H101" s="870"/>
      <c r="I101" s="870"/>
      <c r="J101" s="870"/>
      <c r="K101" s="870"/>
      <c r="L101" s="870"/>
      <c r="M101" s="871"/>
      <c r="N101" s="415"/>
      <c r="O101" s="253"/>
      <c r="P101" s="267">
        <v>1700</v>
      </c>
      <c r="Q101" s="267">
        <v>1700</v>
      </c>
      <c r="R101" s="251">
        <f t="shared" si="18"/>
        <v>0</v>
      </c>
      <c r="S101" s="252">
        <f t="shared" si="19"/>
        <v>0</v>
      </c>
      <c r="T101" s="253"/>
      <c r="U101" s="250">
        <v>1400.94</v>
      </c>
      <c r="V101" s="250">
        <v>1558.37</v>
      </c>
      <c r="W101" s="252">
        <f t="shared" si="20"/>
        <v>-0.10102222193702384</v>
      </c>
      <c r="X101" s="254" t="s">
        <v>493</v>
      </c>
      <c r="Y101" s="62" t="s">
        <v>132</v>
      </c>
      <c r="AD101" s="1">
        <f t="shared" si="23"/>
        <v>566.1</v>
      </c>
      <c r="AE101" s="1">
        <f t="shared" si="21"/>
        <v>566.1</v>
      </c>
      <c r="AF101" s="1">
        <f t="shared" si="21"/>
        <v>567.80000000000007</v>
      </c>
      <c r="AH101" s="1">
        <f t="shared" si="22"/>
        <v>1400.94</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4125</v>
      </c>
      <c r="W102" s="247">
        <f>IF(V102=0,"NA",(+U102-V102)/V102)</f>
        <v>-1</v>
      </c>
      <c r="X102" s="581" t="s">
        <v>503</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867">
        <f>Bud_Yr</f>
        <v>2021</v>
      </c>
      <c r="F103" s="868"/>
      <c r="G103" s="868"/>
      <c r="H103" s="868"/>
      <c r="I103" s="868">
        <f>Bud_Yr-1</f>
        <v>2020</v>
      </c>
      <c r="J103" s="868"/>
      <c r="K103" s="868"/>
      <c r="L103" s="868"/>
      <c r="M103" s="95">
        <f>Bud_Yr-2</f>
        <v>2019</v>
      </c>
      <c r="N103" s="416"/>
      <c r="O103" s="37"/>
      <c r="P103" s="20">
        <f>SUM(P96:P102)</f>
        <v>24150</v>
      </c>
      <c r="Q103" s="37">
        <f>SUM(Q96:Q102)</f>
        <v>26150</v>
      </c>
      <c r="R103" s="37">
        <f>SUM(R96:R102)</f>
        <v>-2000</v>
      </c>
      <c r="S103" s="21">
        <f t="shared" si="19"/>
        <v>-7.6481835564053538E-2</v>
      </c>
      <c r="U103" s="37">
        <f>SUM(U96:U102)</f>
        <v>19848.66</v>
      </c>
      <c r="V103" s="37">
        <f>SUM(V96:V102)</f>
        <v>23970.87</v>
      </c>
      <c r="W103" s="21">
        <f t="shared" si="20"/>
        <v>-0.17196747552341651</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29183.48</v>
      </c>
      <c r="V104" s="37">
        <f>+V61+V68+V70+V81+V93+V103+V79</f>
        <v>50379.93</v>
      </c>
      <c r="W104" s="21">
        <f t="shared" si="20"/>
        <v>-0.42073202563004752</v>
      </c>
      <c r="X104" s="73"/>
      <c r="Y104" s="59"/>
    </row>
    <row r="105" spans="1:34" ht="8.25" customHeight="1">
      <c r="A105" s="43">
        <v>78</v>
      </c>
      <c r="S105" s="5"/>
      <c r="X105" s="73"/>
      <c r="Y105" s="59"/>
    </row>
    <row r="106" spans="1:34" ht="30" customHeight="1">
      <c r="A106" s="43">
        <v>79</v>
      </c>
      <c r="B106" s="7" t="s">
        <v>38</v>
      </c>
      <c r="F106" s="87">
        <v>0.01</v>
      </c>
      <c r="G106" s="872" t="s">
        <v>102</v>
      </c>
      <c r="H106" s="872"/>
      <c r="K106" s="78" t="s">
        <v>180</v>
      </c>
      <c r="L106" s="87">
        <v>0.01</v>
      </c>
      <c r="O106" s="855" t="s">
        <v>98</v>
      </c>
      <c r="S106" s="5"/>
      <c r="X106" s="73"/>
      <c r="Y106" s="59"/>
    </row>
    <row r="107" spans="1:34" ht="15" customHeight="1">
      <c r="A107" s="43">
        <v>80</v>
      </c>
      <c r="B107" s="2" t="s">
        <v>154</v>
      </c>
      <c r="D107" s="50" t="s">
        <v>236</v>
      </c>
      <c r="F107" s="87">
        <v>0</v>
      </c>
      <c r="G107" s="872" t="s">
        <v>103</v>
      </c>
      <c r="H107" s="872"/>
      <c r="K107" s="78"/>
      <c r="O107" s="855"/>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74510</v>
      </c>
      <c r="Q108" s="274">
        <f>+Pastor!I18</f>
        <v>75007</v>
      </c>
      <c r="R108" s="241">
        <f t="shared" ref="R108:R117" si="24">+P108-Q108</f>
        <v>-497</v>
      </c>
      <c r="S108" s="242">
        <f t="shared" ref="S108:S118" si="25">IF(Q108=0,"NA",(+P108-Q108)/Q108)</f>
        <v>-6.6260482354980202E-3</v>
      </c>
      <c r="T108" s="243"/>
      <c r="U108" s="240">
        <f>46756.6+22000</f>
        <v>68756.600000000006</v>
      </c>
      <c r="V108" s="240">
        <f>46756.38+22000</f>
        <v>68756.38</v>
      </c>
      <c r="W108" s="242">
        <f t="shared" ref="W108:W118" si="26">IF(V108=0,"NA",(+U108-V108)/V108)</f>
        <v>3.1997030675722621E-6</v>
      </c>
      <c r="X108" s="244"/>
      <c r="Y108" s="62" t="s">
        <v>133</v>
      </c>
    </row>
    <row r="109" spans="1:34">
      <c r="A109" s="43">
        <v>82</v>
      </c>
      <c r="C109" s="248" t="s">
        <v>40</v>
      </c>
      <c r="D109" s="258"/>
      <c r="E109" s="259"/>
      <c r="F109" s="275" t="s">
        <v>305</v>
      </c>
      <c r="G109" s="276">
        <f>+(Pastor!I12+P161+P163+P169)-(Pastor!G12+Q161+Q163+Q169)</f>
        <v>2313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1375</v>
      </c>
      <c r="W109" s="247">
        <f t="shared" si="26"/>
        <v>-0.48262545454545458</v>
      </c>
      <c r="X109" s="249" t="s">
        <v>171</v>
      </c>
      <c r="Y109" s="62"/>
    </row>
    <row r="110" spans="1:34" ht="14.5" customHeight="1">
      <c r="C110" s="248" t="s">
        <v>362</v>
      </c>
      <c r="D110" s="258"/>
      <c r="E110" s="259"/>
      <c r="F110" s="275" t="s">
        <v>306</v>
      </c>
      <c r="G110" s="276">
        <f>(+P149+P155+P156+P157)-(Q149+Q155+Q156+Q157)</f>
        <v>149</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5259.98</v>
      </c>
      <c r="V110" s="245">
        <v>5259.87</v>
      </c>
      <c r="W110" s="247">
        <f>IF(V110=0,"NA",(+U110-V110)/V110)</f>
        <v>2.0913064391263014E-5</v>
      </c>
      <c r="X110" s="249" t="s">
        <v>235</v>
      </c>
      <c r="Y110" s="62"/>
    </row>
    <row r="111" spans="1:34" ht="43.5" hidden="1">
      <c r="C111" s="873" t="s">
        <v>179</v>
      </c>
      <c r="D111" s="873"/>
      <c r="E111" s="283"/>
      <c r="F111" s="284" t="s">
        <v>231</v>
      </c>
      <c r="G111" s="285">
        <f>+G109+G110</f>
        <v>2462</v>
      </c>
      <c r="H111" s="286"/>
      <c r="I111" s="282"/>
      <c r="J111" s="287"/>
      <c r="K111" s="259"/>
      <c r="L111" s="880"/>
      <c r="M111" s="880"/>
      <c r="N111" s="880"/>
      <c r="O111" s="880"/>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12037.76</v>
      </c>
      <c r="V112" s="266">
        <v>12836.12</v>
      </c>
      <c r="W112" s="247">
        <f>IF(V112=0,"NA",(+U112-V112)/V112)</f>
        <v>-6.2196364633549744E-2</v>
      </c>
      <c r="X112" s="249"/>
      <c r="Y112" s="66" t="s">
        <v>146</v>
      </c>
      <c r="Z112" s="2"/>
    </row>
    <row r="113" spans="1:37" ht="14.4" hidden="1"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377</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1910.93</v>
      </c>
      <c r="V114" s="266">
        <v>2146.87</v>
      </c>
      <c r="W114" s="247">
        <f t="shared" si="26"/>
        <v>-0.10989952815028382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550</v>
      </c>
      <c r="W115" s="247">
        <f>IF(V115=0,"NA",(+U115-V115)/V115)</f>
        <v>-0.76725454545454552</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916.64</v>
      </c>
      <c r="W117" s="252">
        <f t="shared" si="26"/>
        <v>-0.53199729446674815</v>
      </c>
      <c r="X117" s="254" t="s">
        <v>378</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89593.659999999989</v>
      </c>
      <c r="V118" s="24">
        <f>SUM(V108:V117)</f>
        <v>92200.87999999999</v>
      </c>
      <c r="W118" s="25">
        <f t="shared" si="26"/>
        <v>-2.8277604291846253E-2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35837.464</v>
      </c>
      <c r="AI118" s="2">
        <f>+U118*AI117</f>
        <v>13439.048999999997</v>
      </c>
      <c r="AJ118" s="2">
        <f>+U118*AJ117</f>
        <v>35837.464</v>
      </c>
      <c r="AK118" s="2">
        <f>+V118*AK117</f>
        <v>4610.0439999999999</v>
      </c>
    </row>
    <row r="119" spans="1:37" ht="6.75" customHeight="1">
      <c r="A119" s="43">
        <v>87</v>
      </c>
      <c r="S119" s="5"/>
      <c r="X119" s="73"/>
      <c r="Y119" s="59"/>
    </row>
    <row r="120" spans="1:37" ht="15" customHeight="1">
      <c r="A120" s="43">
        <v>80</v>
      </c>
      <c r="B120" s="2" t="s">
        <v>356</v>
      </c>
      <c r="D120" s="50" t="s">
        <v>494</v>
      </c>
      <c r="F120" s="463"/>
      <c r="G120" s="874"/>
      <c r="H120" s="874"/>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24287.5</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500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1858.3</v>
      </c>
      <c r="W123" s="247">
        <f>IF(V123=0,"NA",(+U123-V123)/V123)</f>
        <v>-1</v>
      </c>
      <c r="X123" s="249" t="s">
        <v>235</v>
      </c>
      <c r="Y123" s="62"/>
      <c r="AA123" s="455"/>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2615</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9177.5</v>
      </c>
      <c r="W125" s="247">
        <f>IF(V125=0,"NA",(+U125-V125)/V125)</f>
        <v>-1</v>
      </c>
      <c r="X125" s="249" t="s">
        <v>495</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758.3</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250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312.5</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250</v>
      </c>
      <c r="W130" s="247">
        <f t="shared" ref="W130" si="37">IF(V130=0,"NA",(+U130-V130)/V130)</f>
        <v>-1</v>
      </c>
      <c r="X130" s="249" t="s">
        <v>496</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40129.100000000006</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399</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500</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572.33000000000004</v>
      </c>
      <c r="V145" s="250">
        <v>711.12</v>
      </c>
      <c r="W145" s="252">
        <f>IF(V145=0,"NA",(+U145-V145)/V145)</f>
        <v>-0.19517099786252667</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572.33000000000004</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8531.0300000000007</v>
      </c>
      <c r="V146" s="24">
        <f>SUM(V144:V145)</f>
        <v>9554.1200000000008</v>
      </c>
      <c r="W146" s="25">
        <f>IF(V146=0,"NA",(+U146-V146)/V146)</f>
        <v>-0.10708364558954671</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976">
        <f>ROUND(+Q149*(1+$F$106),0)-13</f>
        <v>16385</v>
      </c>
      <c r="Q149" s="240">
        <v>16236</v>
      </c>
      <c r="R149" s="241">
        <f t="shared" ref="R149:R157" si="43">+P149-Q149</f>
        <v>149</v>
      </c>
      <c r="S149" s="242">
        <f t="shared" ref="S149:S158" si="44">IF(Q149=0,"NA",(+P149-Q149)/Q149)</f>
        <v>9.1771372259177135E-3</v>
      </c>
      <c r="T149" s="243"/>
      <c r="U149" s="240">
        <v>14883</v>
      </c>
      <c r="V149" s="240">
        <v>14883</v>
      </c>
      <c r="W149" s="242">
        <f t="shared" ref="W149:W158" si="45">IF(V149=0,"NA",(+U149-V149)/V149)</f>
        <v>0</v>
      </c>
      <c r="X149" s="244" t="s">
        <v>400</v>
      </c>
      <c r="Y149" s="58" t="s">
        <v>147</v>
      </c>
      <c r="Z149" s="2"/>
      <c r="AD149" s="1">
        <f t="shared" ref="AD149:AE157" si="46">+$P149</f>
        <v>16385</v>
      </c>
      <c r="AH149" s="1">
        <f t="shared" ref="AH149:AI157" si="47">+$U149</f>
        <v>14883</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2800</v>
      </c>
      <c r="V150" s="240">
        <v>2805</v>
      </c>
      <c r="W150" s="242">
        <f>IF(V150=0,"NA",(+U150-V150)/V150)</f>
        <v>-1.7825311942959001E-3</v>
      </c>
      <c r="X150" s="244" t="s">
        <v>401</v>
      </c>
      <c r="Y150" s="58" t="s">
        <v>147</v>
      </c>
      <c r="AD150" s="1">
        <f t="shared" si="46"/>
        <v>3091</v>
      </c>
      <c r="AH150" s="1">
        <f t="shared" si="47"/>
        <v>2800</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458.37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12266.64</v>
      </c>
      <c r="W152" s="247">
        <f t="shared" si="45"/>
        <v>-0.53165659055780556</v>
      </c>
      <c r="X152" s="249" t="s">
        <v>369</v>
      </c>
      <c r="Y152" s="58" t="s">
        <v>149</v>
      </c>
      <c r="AD152" s="1">
        <f t="shared" si="46"/>
        <v>13800</v>
      </c>
      <c r="AH152" s="1">
        <f t="shared" si="47"/>
        <v>5745</v>
      </c>
    </row>
    <row r="153" spans="1:37" ht="29">
      <c r="A153" s="43">
        <v>110</v>
      </c>
      <c r="C153" s="873" t="s">
        <v>307</v>
      </c>
      <c r="D153" s="873"/>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3093.75</v>
      </c>
      <c r="W154" s="247">
        <f>IF(V154=0,"NA",(+U154-V154)/V154)</f>
        <v>-0.87070707070707065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977">
        <f>ROUND(+Q155*(1+$F$106),0)-76</f>
        <v>7634</v>
      </c>
      <c r="Q155" s="240">
        <v>7634</v>
      </c>
      <c r="R155" s="246">
        <f t="shared" si="43"/>
        <v>0</v>
      </c>
      <c r="S155" s="247">
        <f t="shared" si="44"/>
        <v>0</v>
      </c>
      <c r="T155" s="248"/>
      <c r="U155" s="245">
        <v>1908.5</v>
      </c>
      <c r="V155" s="245">
        <v>6870.6</v>
      </c>
      <c r="W155" s="247">
        <f t="shared" si="45"/>
        <v>-0.72222222222222221</v>
      </c>
      <c r="X155" s="249" t="s">
        <v>394</v>
      </c>
      <c r="Y155" s="58" t="s">
        <v>148</v>
      </c>
      <c r="Z155" s="2"/>
      <c r="AD155" s="1">
        <f t="shared" si="46"/>
        <v>7634</v>
      </c>
      <c r="AH155" s="1">
        <f t="shared" si="47"/>
        <v>1908.5</v>
      </c>
    </row>
    <row r="156" spans="1:37" ht="29">
      <c r="A156" s="43">
        <v>112</v>
      </c>
      <c r="C156" s="248" t="s">
        <v>50</v>
      </c>
      <c r="D156" s="258"/>
      <c r="E156" s="878" t="s">
        <v>162</v>
      </c>
      <c r="F156" s="879"/>
      <c r="G156" s="879"/>
      <c r="H156" s="879"/>
      <c r="I156" s="879"/>
      <c r="J156" s="879"/>
      <c r="K156" s="879"/>
      <c r="L156" s="879"/>
      <c r="M156" s="879"/>
      <c r="N156" s="879"/>
      <c r="O156" s="879"/>
      <c r="P156" s="266">
        <v>1500</v>
      </c>
      <c r="Q156" s="245">
        <v>1500</v>
      </c>
      <c r="R156" s="246">
        <f t="shared" si="43"/>
        <v>0</v>
      </c>
      <c r="S156" s="247">
        <f t="shared" si="44"/>
        <v>0</v>
      </c>
      <c r="T156" s="248"/>
      <c r="U156" s="245">
        <v>0</v>
      </c>
      <c r="V156" s="245">
        <v>1333.36</v>
      </c>
      <c r="W156" s="247">
        <f t="shared" si="45"/>
        <v>-1</v>
      </c>
      <c r="X156" s="249" t="s">
        <v>402</v>
      </c>
      <c r="Y156" s="58" t="s">
        <v>150</v>
      </c>
      <c r="AE156" s="1">
        <f t="shared" si="46"/>
        <v>1500</v>
      </c>
      <c r="AI156" s="1">
        <f t="shared" si="47"/>
        <v>0</v>
      </c>
    </row>
    <row r="157" spans="1:37">
      <c r="A157" s="43">
        <v>113</v>
      </c>
      <c r="C157" s="253" t="s">
        <v>110</v>
      </c>
      <c r="D157" s="261"/>
      <c r="E157" s="876">
        <f>Bud_Yr</f>
        <v>2021</v>
      </c>
      <c r="F157" s="877"/>
      <c r="G157" s="877"/>
      <c r="H157" s="877"/>
      <c r="I157" s="877">
        <f>Bud_Yr-1</f>
        <v>2020</v>
      </c>
      <c r="J157" s="877"/>
      <c r="K157" s="877"/>
      <c r="L157" s="877"/>
      <c r="M157" s="309">
        <f>Bud_Yr-2</f>
        <v>2019</v>
      </c>
      <c r="N157" s="309">
        <f>+M157-1</f>
        <v>2018</v>
      </c>
      <c r="O157" s="309">
        <f>+N157-1</f>
        <v>2017</v>
      </c>
      <c r="P157" s="296">
        <f>ROUND(+Q157*(1+$F$107),0)</f>
        <v>2759</v>
      </c>
      <c r="Q157" s="241">
        <v>2759</v>
      </c>
      <c r="R157" s="251">
        <f t="shared" si="43"/>
        <v>0</v>
      </c>
      <c r="S157" s="252">
        <f t="shared" si="44"/>
        <v>0</v>
      </c>
      <c r="T157" s="253"/>
      <c r="U157" s="250">
        <v>608.64</v>
      </c>
      <c r="V157" s="250">
        <v>2529.12</v>
      </c>
      <c r="W157" s="252">
        <f t="shared" si="45"/>
        <v>-0.75934712469159238</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52044</v>
      </c>
      <c r="Q158" s="24">
        <f>SUM(Q149:Q157)</f>
        <v>51864</v>
      </c>
      <c r="R158" s="24">
        <f>SUM(R149:R157)</f>
        <v>180</v>
      </c>
      <c r="S158" s="25">
        <f t="shared" si="44"/>
        <v>3.4706154558074966E-3</v>
      </c>
      <c r="U158" s="24">
        <f>SUM(U149:U157)</f>
        <v>26230.14</v>
      </c>
      <c r="V158" s="24">
        <f>SUM(V149:V157)</f>
        <v>47239.839999999997</v>
      </c>
      <c r="W158" s="25">
        <f t="shared" si="45"/>
        <v>-0.44474536746949184</v>
      </c>
      <c r="X158" s="74"/>
      <c r="Y158" s="61"/>
      <c r="Z158" s="1"/>
      <c r="AC158" s="2" t="s">
        <v>528</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415</v>
      </c>
      <c r="D161" s="255"/>
      <c r="E161" s="604">
        <v>40</v>
      </c>
      <c r="F161" s="978">
        <f>ROUND(+J161*(1+(H161+0.01)),2)</f>
        <v>17.690000000000001</v>
      </c>
      <c r="G161" s="604">
        <v>52</v>
      </c>
      <c r="H161" s="605">
        <f>+$F$106</f>
        <v>0.01</v>
      </c>
      <c r="I161" s="604">
        <v>40</v>
      </c>
      <c r="J161" s="606">
        <v>17.34</v>
      </c>
      <c r="K161" s="604">
        <v>52</v>
      </c>
      <c r="L161" s="242">
        <f>IF(M161=0,0,(+K161-M161)/M161)</f>
        <v>2.0588235294117645</v>
      </c>
      <c r="M161" s="607">
        <v>17</v>
      </c>
      <c r="N161" s="607"/>
      <c r="O161" s="306"/>
      <c r="P161" s="274">
        <f>ROUND(E161*F161*G161,0)</f>
        <v>36795</v>
      </c>
      <c r="Q161" s="274">
        <f>ROUND(I161*J161*K161,0)</f>
        <v>36067</v>
      </c>
      <c r="R161" s="241">
        <f>+P161-Q161</f>
        <v>728</v>
      </c>
      <c r="S161" s="242">
        <f>IF(Q161=0,"NA",(+P161-Q161)/Q161)</f>
        <v>2.0184656334044971E-2</v>
      </c>
      <c r="T161" s="243"/>
      <c r="U161" s="240">
        <v>33266.5</v>
      </c>
      <c r="V161" s="240">
        <v>33061.379999999997</v>
      </c>
      <c r="W161" s="242">
        <f>IF(V161=0,"NA",(+U161-V161)/V161)</f>
        <v>6.204217730778408E-3</v>
      </c>
      <c r="X161" s="244" t="s">
        <v>239</v>
      </c>
      <c r="Y161" s="69"/>
      <c r="AD161" s="1">
        <f>+$P161*AD$160</f>
        <v>11038.5</v>
      </c>
      <c r="AE161" s="1">
        <f t="shared" ref="AE161:AG161" si="48">+$P161*AE$160</f>
        <v>11038.5</v>
      </c>
      <c r="AF161" s="1">
        <f t="shared" si="48"/>
        <v>11038.5</v>
      </c>
      <c r="AG161" s="1">
        <f t="shared" si="48"/>
        <v>3679.5</v>
      </c>
      <c r="AH161" s="1">
        <f t="shared" ref="AH161:AJ162" si="49">+$U161*AH$158</f>
        <v>11077.744500000001</v>
      </c>
      <c r="AI161" s="1">
        <f t="shared" si="49"/>
        <v>11077.744500000001</v>
      </c>
      <c r="AJ161" s="1">
        <f t="shared" si="49"/>
        <v>11111.011</v>
      </c>
    </row>
    <row r="162" spans="1:37">
      <c r="A162" s="43">
        <v>122</v>
      </c>
      <c r="C162" s="248" t="s">
        <v>416</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257.33999999999997</v>
      </c>
      <c r="V162" s="245">
        <v>916.63</v>
      </c>
      <c r="W162" s="247">
        <f>IF(V162=0,"NA",(+U162-V162)/V162)</f>
        <v>-0.71925422471444311</v>
      </c>
      <c r="X162" s="249" t="s">
        <v>342</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34323</v>
      </c>
      <c r="Q163" s="282">
        <f>ROUND((I163*J163*K163)+(I164*J164*K164)+(I165*J165*K165),0)</f>
        <v>34141</v>
      </c>
      <c r="R163" s="246">
        <f t="shared" ref="R163:R172" si="50">+P163-Q163</f>
        <v>182</v>
      </c>
      <c r="S163" s="247">
        <f t="shared" ref="S163:S174" si="51">IF(Q163=0,"NA",(+P163-Q163)/Q163)</f>
        <v>5.3308338947306759E-3</v>
      </c>
      <c r="T163" s="248"/>
      <c r="U163" s="266">
        <v>28275.17</v>
      </c>
      <c r="V163" s="245">
        <v>31295.88</v>
      </c>
      <c r="W163" s="247">
        <f t="shared" ref="W163:W174" si="52">IF(V163=0,"NA",(+U163-V163)/V163)</f>
        <v>-9.6521011711445809E-2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34323</v>
      </c>
      <c r="AK163" s="1">
        <f>+$U163</f>
        <v>28275.17</v>
      </c>
    </row>
    <row r="164" spans="1:37" ht="29">
      <c r="C164" s="248"/>
      <c r="D164" s="258"/>
      <c r="E164" s="316">
        <v>20</v>
      </c>
      <c r="F164" s="979">
        <f>ROUND(+J164*(1+0),2)</f>
        <v>11.57</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$11.57/hr (1% incr.) for 52 weeks.                                    2020:  avg 20 hrs/week at $11.57/hr (-15.2% incr.) for 52 weeks.   2019:  $13.64/hour.</v>
      </c>
      <c r="Y164" s="58"/>
      <c r="AA164" s="77"/>
    </row>
    <row r="165" spans="1:37" ht="29">
      <c r="C165" s="248"/>
      <c r="D165" s="258"/>
      <c r="E165" s="316">
        <v>7.5</v>
      </c>
      <c r="F165" s="979">
        <f>ROUND(+J165*(1+0),2)</f>
        <v>11.22</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$11.22/hr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366.63</v>
      </c>
      <c r="W166" s="247">
        <f t="shared" si="52"/>
        <v>-0.91836456372910014</v>
      </c>
      <c r="X166" s="249" t="s">
        <v>403</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641.63</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822.22</v>
      </c>
      <c r="W168" s="247">
        <f>IF(V168=0,"NA",(+U168-V168)/V168)</f>
        <v>-1</v>
      </c>
      <c r="X168" s="249" t="s">
        <v>397</v>
      </c>
      <c r="Y168" s="58" t="s">
        <v>135</v>
      </c>
      <c r="AD168" s="1">
        <f t="shared" ref="AD168" si="55">+$P168</f>
        <v>925</v>
      </c>
      <c r="AH168" s="1">
        <f t="shared" ref="AH168" si="56">+$U168</f>
        <v>0</v>
      </c>
    </row>
    <row r="169" spans="1:37" ht="29">
      <c r="C169" s="881" t="s">
        <v>430</v>
      </c>
      <c r="D169" s="881"/>
      <c r="E169" s="310">
        <v>15</v>
      </c>
      <c r="F169" s="979">
        <f>ROUND(+J169*(1+0),2)</f>
        <v>14.57</v>
      </c>
      <c r="G169" s="310">
        <v>52</v>
      </c>
      <c r="H169" s="312">
        <f>+$F$106</f>
        <v>0.01</v>
      </c>
      <c r="I169" s="310">
        <v>15</v>
      </c>
      <c r="J169" s="311">
        <v>14.57</v>
      </c>
      <c r="K169" s="310">
        <v>52</v>
      </c>
      <c r="L169" s="247">
        <f>IF(M169=0,0,(+J169-M169)/M169)</f>
        <v>2.0308123249299787E-2</v>
      </c>
      <c r="M169" s="311">
        <v>14.28</v>
      </c>
      <c r="N169" s="311">
        <v>14</v>
      </c>
      <c r="O169" s="311"/>
      <c r="P169" s="319">
        <f>ROUND(+E169*F169*G169,0)</f>
        <v>11365</v>
      </c>
      <c r="Q169" s="282">
        <f>ROUND(+I169*J169*K169,0)</f>
        <v>11365</v>
      </c>
      <c r="R169" s="246">
        <f>+P169-Q169</f>
        <v>0</v>
      </c>
      <c r="S169" s="247">
        <f>IF(Q169=0,"NA",(+P169-Q169)/Q169)</f>
        <v>0</v>
      </c>
      <c r="T169" s="248"/>
      <c r="U169" s="266">
        <v>10471.950000000001</v>
      </c>
      <c r="V169" s="245">
        <v>10417.879999999999</v>
      </c>
      <c r="W169" s="247">
        <f>IF(V169=0,"NA",(+U169-V169)/V169)</f>
        <v>5.1901154553519076E-3</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$14.57/hr (1% incr.) for 52 weeks.                       2020:  avg 15 hrs/week at $14.57/hr (2% incr.) for 52 weeks.   </v>
      </c>
      <c r="Y169" s="59"/>
      <c r="Z169" s="39"/>
      <c r="AD169" s="1">
        <f t="shared" ref="AD169:AF171" si="57">+$P169*AD$158</f>
        <v>3784.5450000000001</v>
      </c>
      <c r="AE169" s="1">
        <f t="shared" si="57"/>
        <v>3784.5450000000001</v>
      </c>
      <c r="AF169" s="1">
        <f t="shared" si="57"/>
        <v>3795.9100000000003</v>
      </c>
      <c r="AH169" s="1">
        <f t="shared" ref="AH169:AJ171" si="58">+$U169*AH$158</f>
        <v>3487.1593500000004</v>
      </c>
      <c r="AI169" s="1">
        <f t="shared" si="58"/>
        <v>3487.1593500000004</v>
      </c>
      <c r="AJ169" s="1">
        <f t="shared" si="58"/>
        <v>3497.6313000000005</v>
      </c>
    </row>
    <row r="170" spans="1:37" ht="14.5" customHeight="1">
      <c r="A170" s="43">
        <v>123</v>
      </c>
      <c r="C170" s="248" t="s">
        <v>56</v>
      </c>
      <c r="D170" s="258"/>
      <c r="E170" s="320"/>
      <c r="F170" s="464"/>
      <c r="G170" s="320"/>
      <c r="H170" s="320"/>
      <c r="I170" s="320"/>
      <c r="J170" s="321"/>
      <c r="K170" s="322"/>
      <c r="L170" s="322"/>
      <c r="M170" s="323">
        <v>7.6499999999999999E-2</v>
      </c>
      <c r="N170" s="323"/>
      <c r="O170" s="248"/>
      <c r="P170" s="977">
        <f>ROUND((+P134+P144+P145+P158+P161+P162+P163+P168+P169+P172)*$M170,0)-2</f>
        <v>10613</v>
      </c>
      <c r="Q170" s="282">
        <f>ROUND((+Q134+Q144+Q145+Q158+Q161+Q162+Q163+Q168+Q169+Q172)*$M170,0)</f>
        <v>12642</v>
      </c>
      <c r="R170" s="246">
        <f t="shared" si="50"/>
        <v>-2029</v>
      </c>
      <c r="S170" s="247">
        <f t="shared" si="51"/>
        <v>-0.1604967568422718</v>
      </c>
      <c r="T170" s="248"/>
      <c r="U170" s="266">
        <v>9290.56</v>
      </c>
      <c r="V170" s="266">
        <v>11588.5</v>
      </c>
      <c r="W170" s="247">
        <f t="shared" si="52"/>
        <v>-0.19829486128489454</v>
      </c>
      <c r="X170" s="308" t="s">
        <v>365</v>
      </c>
      <c r="Y170" s="62" t="s">
        <v>136</v>
      </c>
      <c r="Z170" s="46"/>
      <c r="AD170" s="1">
        <f t="shared" si="57"/>
        <v>3534.1290000000004</v>
      </c>
      <c r="AE170" s="1">
        <f t="shared" si="57"/>
        <v>3534.1290000000004</v>
      </c>
      <c r="AF170" s="1">
        <f t="shared" si="57"/>
        <v>3544.7420000000002</v>
      </c>
      <c r="AH170" s="1">
        <f t="shared" si="58"/>
        <v>3093.75648</v>
      </c>
      <c r="AI170" s="1">
        <f t="shared" si="58"/>
        <v>3093.75648</v>
      </c>
      <c r="AJ170" s="1">
        <f t="shared" si="58"/>
        <v>3103.0470399999999</v>
      </c>
    </row>
    <row r="171" spans="1:37" ht="14.4" customHeight="1">
      <c r="A171" s="43">
        <v>124</v>
      </c>
      <c r="C171" s="248" t="s">
        <v>57</v>
      </c>
      <c r="D171" s="258"/>
      <c r="E171" s="259"/>
      <c r="F171" s="465"/>
      <c r="G171" s="465"/>
      <c r="H171" s="465"/>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432</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1375</v>
      </c>
      <c r="W172" s="4">
        <f t="shared" si="52"/>
        <v>-0.83636363636363631</v>
      </c>
      <c r="X172" s="244" t="s">
        <v>398</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101271</v>
      </c>
      <c r="Q173" s="24">
        <f>SUM(Q161:Q172)</f>
        <v>102241</v>
      </c>
      <c r="R173" s="24">
        <f>SUM(R161:R172)</f>
        <v>-970</v>
      </c>
      <c r="S173" s="25">
        <f t="shared" si="51"/>
        <v>-9.4873876429221148E-3</v>
      </c>
      <c r="U173" s="24">
        <f>SUM(U161:U172)</f>
        <v>84500.7</v>
      </c>
      <c r="V173" s="24">
        <f>SUM(V161:V172)</f>
        <v>93111.500000000015</v>
      </c>
      <c r="W173" s="25">
        <f t="shared" si="52"/>
        <v>-9.2478372703694134E-2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239508.38</v>
      </c>
      <c r="V174" s="24">
        <f>+V118+V131+V140+V146+V158+V173</f>
        <v>301185.44</v>
      </c>
      <c r="W174" s="25">
        <f t="shared" si="52"/>
        <v>-0.20478101464665754</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8" t="s">
        <v>63</v>
      </c>
      <c r="D178" s="419"/>
      <c r="E178" s="420"/>
      <c r="F178" s="421"/>
      <c r="G178" s="421"/>
      <c r="H178" s="421"/>
      <c r="I178" s="421"/>
      <c r="J178" s="421"/>
      <c r="K178" s="421"/>
      <c r="L178" s="421"/>
      <c r="M178" s="421"/>
      <c r="N178" s="421"/>
      <c r="O178" s="418"/>
      <c r="P178" s="426">
        <v>12000</v>
      </c>
      <c r="Q178" s="426">
        <v>12000</v>
      </c>
      <c r="R178" s="423">
        <f t="shared" ref="R178:R191" si="61">+P178-Q178</f>
        <v>0</v>
      </c>
      <c r="S178" s="424">
        <f t="shared" ref="S178:S193" si="62">IF(Q178=0,"NA",(+P178-Q178)/Q178)</f>
        <v>0</v>
      </c>
      <c r="T178" s="418"/>
      <c r="U178" s="422">
        <v>9734.31</v>
      </c>
      <c r="V178" s="422">
        <v>11000</v>
      </c>
      <c r="W178" s="424">
        <f t="shared" ref="W178:W193" si="63">IF(V178=0,"NA",(+U178-V178)/V178)</f>
        <v>-0.11506272727272732</v>
      </c>
      <c r="X178" s="583" t="s">
        <v>481</v>
      </c>
      <c r="Y178" s="58" t="s">
        <v>138</v>
      </c>
      <c r="AG178" s="1">
        <f t="shared" ref="AG178:AG191" si="64">+$P178</f>
        <v>12000</v>
      </c>
      <c r="AK178" s="1">
        <f t="shared" ref="AK178:AK191" si="65">+$U178</f>
        <v>9734.31</v>
      </c>
    </row>
    <row r="179" spans="1:37" ht="14.5" customHeight="1">
      <c r="C179" s="243"/>
      <c r="D179" s="255"/>
      <c r="E179" s="420"/>
      <c r="F179" s="421"/>
      <c r="G179" s="421"/>
      <c r="H179" s="421"/>
      <c r="I179" s="421"/>
      <c r="J179" s="421"/>
      <c r="K179" s="421"/>
      <c r="L179" s="421"/>
      <c r="M179" s="421"/>
      <c r="N179" s="421"/>
      <c r="O179" s="418"/>
      <c r="P179" s="268"/>
      <c r="Q179" s="268"/>
      <c r="R179" s="241"/>
      <c r="S179" s="242"/>
      <c r="T179" s="243"/>
      <c r="U179" s="240"/>
      <c r="V179" s="240"/>
      <c r="W179" s="242"/>
      <c r="X179" s="244" t="s">
        <v>404</v>
      </c>
      <c r="Y179" s="58"/>
    </row>
    <row r="180" spans="1:37" ht="14.5" customHeight="1">
      <c r="A180" s="43">
        <v>133</v>
      </c>
      <c r="C180" s="253" t="s">
        <v>64</v>
      </c>
      <c r="D180" s="261"/>
      <c r="P180" s="267">
        <v>10000</v>
      </c>
      <c r="Q180" s="267">
        <v>10000</v>
      </c>
      <c r="R180" s="251">
        <f t="shared" si="61"/>
        <v>0</v>
      </c>
      <c r="S180" s="252">
        <f t="shared" si="62"/>
        <v>0</v>
      </c>
      <c r="T180" s="253"/>
      <c r="U180" s="250">
        <v>7700</v>
      </c>
      <c r="V180" s="250">
        <v>9166.6299999999992</v>
      </c>
      <c r="W180" s="252">
        <f t="shared" si="63"/>
        <v>-0.15999663998655989</v>
      </c>
      <c r="X180" s="583" t="s">
        <v>481</v>
      </c>
      <c r="Y180" s="66" t="s">
        <v>141</v>
      </c>
      <c r="AG180" s="1">
        <f t="shared" si="64"/>
        <v>10000</v>
      </c>
      <c r="AK180" s="1">
        <f t="shared" si="65"/>
        <v>7700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405</v>
      </c>
      <c r="Y181" s="66"/>
    </row>
    <row r="182" spans="1:37">
      <c r="A182" s="43">
        <v>134</v>
      </c>
      <c r="C182" s="418" t="s">
        <v>345</v>
      </c>
      <c r="D182" s="419"/>
      <c r="E182" s="420"/>
      <c r="F182" s="421"/>
      <c r="G182" s="421"/>
      <c r="H182" s="421"/>
      <c r="I182" s="421"/>
      <c r="J182" s="421"/>
      <c r="K182" s="421"/>
      <c r="L182" s="421"/>
      <c r="M182" s="421"/>
      <c r="N182" s="421"/>
      <c r="O182" s="434"/>
      <c r="P182" s="422">
        <v>4400</v>
      </c>
      <c r="Q182" s="422">
        <v>4400</v>
      </c>
      <c r="R182" s="423">
        <f t="shared" si="61"/>
        <v>0</v>
      </c>
      <c r="S182" s="424">
        <f t="shared" si="62"/>
        <v>0</v>
      </c>
      <c r="T182" s="418"/>
      <c r="U182" s="422">
        <v>4322.7299999999996</v>
      </c>
      <c r="V182" s="422">
        <v>4033.37</v>
      </c>
      <c r="W182" s="424">
        <f t="shared" si="63"/>
        <v>7.1741496564907178E-2</v>
      </c>
      <c r="X182" s="583" t="s">
        <v>518</v>
      </c>
      <c r="Y182" s="65"/>
      <c r="Z182" s="2"/>
      <c r="AG182" s="1">
        <f t="shared" si="64"/>
        <v>4400</v>
      </c>
      <c r="AK182" s="1">
        <f t="shared" si="65"/>
        <v>4322.7299999999996</v>
      </c>
    </row>
    <row r="183" spans="1:37">
      <c r="C183" s="418"/>
      <c r="D183" s="419"/>
      <c r="E183" s="420"/>
      <c r="F183" s="421"/>
      <c r="G183" s="421"/>
      <c r="H183" s="421"/>
      <c r="I183" s="421"/>
      <c r="J183" s="421"/>
      <c r="K183" s="421"/>
      <c r="L183" s="421"/>
      <c r="M183" s="421"/>
      <c r="N183" s="421"/>
      <c r="O183" s="434"/>
      <c r="P183" s="422"/>
      <c r="Q183" s="422"/>
      <c r="R183" s="423"/>
      <c r="S183" s="424"/>
      <c r="T183" s="418"/>
      <c r="U183" s="422"/>
      <c r="V183" s="422"/>
      <c r="W183" s="424"/>
      <c r="X183" s="425" t="s">
        <v>352</v>
      </c>
      <c r="Y183" s="65"/>
    </row>
    <row r="184" spans="1:37" ht="49.5" customHeight="1">
      <c r="C184" s="243"/>
      <c r="D184" s="255"/>
      <c r="O184" s="3"/>
      <c r="P184" s="240"/>
      <c r="Q184" s="240"/>
      <c r="R184" s="241"/>
      <c r="S184" s="242"/>
      <c r="T184" s="243"/>
      <c r="U184" s="240"/>
      <c r="V184" s="240"/>
      <c r="W184" s="242"/>
      <c r="X184" s="244" t="s">
        <v>372</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3" t="s">
        <v>481</v>
      </c>
      <c r="Y185" s="58"/>
      <c r="AG185" s="1">
        <f t="shared" si="64"/>
        <v>1000</v>
      </c>
      <c r="AK185" s="1">
        <f t="shared" si="65"/>
        <v>903.9</v>
      </c>
    </row>
    <row r="186" spans="1:37" ht="14.5" customHeight="1">
      <c r="C186" s="243"/>
      <c r="D186" s="255"/>
      <c r="E186" s="420"/>
      <c r="F186" s="421"/>
      <c r="G186" s="421"/>
      <c r="H186" s="421"/>
      <c r="I186" s="421"/>
      <c r="J186" s="421"/>
      <c r="K186" s="421"/>
      <c r="L186" s="421"/>
      <c r="M186" s="421"/>
      <c r="N186" s="421"/>
      <c r="O186" s="418"/>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320.87</v>
      </c>
      <c r="W187" s="252">
        <f t="shared" si="63"/>
        <v>0.10122479508835359</v>
      </c>
      <c r="X187" s="583" t="s">
        <v>520</v>
      </c>
      <c r="Y187" s="66" t="s">
        <v>142</v>
      </c>
      <c r="AG187" s="1">
        <f t="shared" si="64"/>
        <v>350</v>
      </c>
      <c r="AK187" s="1">
        <f t="shared" si="65"/>
        <v>353.35</v>
      </c>
    </row>
    <row r="188" spans="1:37" ht="44.5" customHeight="1">
      <c r="C188" s="243"/>
      <c r="D188" s="255"/>
      <c r="E188" s="420"/>
      <c r="F188" s="421"/>
      <c r="G188" s="421"/>
      <c r="H188" s="421"/>
      <c r="I188" s="421"/>
      <c r="J188" s="421"/>
      <c r="K188" s="421"/>
      <c r="L188" s="421"/>
      <c r="M188" s="421"/>
      <c r="N188" s="421"/>
      <c r="O188" s="418"/>
      <c r="P188" s="240"/>
      <c r="Q188" s="268"/>
      <c r="R188" s="241"/>
      <c r="S188" s="242"/>
      <c r="T188" s="243"/>
      <c r="U188" s="240"/>
      <c r="V188" s="240"/>
      <c r="W188" s="242"/>
      <c r="X188" s="244" t="s">
        <v>519</v>
      </c>
      <c r="Y188" s="66"/>
    </row>
    <row r="189" spans="1:37" ht="14" customHeight="1">
      <c r="A189" s="43">
        <v>137</v>
      </c>
      <c r="C189" s="253" t="s">
        <v>68</v>
      </c>
      <c r="D189" s="261"/>
      <c r="E189" s="420"/>
      <c r="F189" s="421"/>
      <c r="G189" s="421"/>
      <c r="H189" s="689"/>
      <c r="I189" s="689"/>
      <c r="J189" s="689"/>
      <c r="K189" s="689"/>
      <c r="L189" s="689"/>
      <c r="M189" s="689"/>
      <c r="N189" s="689"/>
      <c r="O189" s="418"/>
      <c r="P189" s="250">
        <v>0</v>
      </c>
      <c r="Q189" s="267">
        <v>250</v>
      </c>
      <c r="R189" s="251">
        <f t="shared" si="61"/>
        <v>-250</v>
      </c>
      <c r="S189" s="252">
        <f t="shared" si="62"/>
        <v>-1</v>
      </c>
      <c r="T189" s="253"/>
      <c r="U189" s="250">
        <v>285.89999999999998</v>
      </c>
      <c r="V189" s="250">
        <v>250.02</v>
      </c>
      <c r="W189" s="252">
        <f t="shared" si="63"/>
        <v>0.14350851931845438</v>
      </c>
      <c r="X189" s="583" t="s">
        <v>516</v>
      </c>
      <c r="Y189" s="62" t="s">
        <v>373</v>
      </c>
      <c r="AG189" s="1">
        <f t="shared" si="64"/>
        <v>0</v>
      </c>
      <c r="AK189" s="1">
        <f t="shared" si="65"/>
        <v>285.89999999999998</v>
      </c>
    </row>
    <row r="190" spans="1:37" ht="29.5" customHeight="1">
      <c r="C190" s="418"/>
      <c r="D190" s="419"/>
      <c r="H190" s="89"/>
      <c r="I190" s="89"/>
      <c r="J190" s="89"/>
      <c r="K190" s="89"/>
      <c r="L190" s="89"/>
      <c r="M190" s="89"/>
      <c r="N190" s="89"/>
      <c r="P190" s="422"/>
      <c r="Q190" s="426"/>
      <c r="R190" s="423"/>
      <c r="S190" s="424"/>
      <c r="T190" s="418"/>
      <c r="U190" s="422"/>
      <c r="V190" s="422"/>
      <c r="W190" s="424"/>
      <c r="X190" s="244" t="s">
        <v>363</v>
      </c>
      <c r="Y190" s="62"/>
    </row>
    <row r="191" spans="1:37">
      <c r="A191" s="43">
        <v>138</v>
      </c>
      <c r="B191" s="688"/>
      <c r="C191" s="253" t="s">
        <v>104</v>
      </c>
      <c r="D191" s="261"/>
      <c r="E191" s="420"/>
      <c r="F191" s="421"/>
      <c r="G191" s="421"/>
      <c r="H191" s="421"/>
      <c r="I191" s="421"/>
      <c r="J191" s="421"/>
      <c r="K191" s="421"/>
      <c r="L191" s="421"/>
      <c r="M191" s="421"/>
      <c r="N191" s="421"/>
      <c r="O191" s="418"/>
      <c r="P191" s="250">
        <v>5200</v>
      </c>
      <c r="Q191" s="250">
        <v>4800</v>
      </c>
      <c r="R191" s="251">
        <f t="shared" si="61"/>
        <v>400</v>
      </c>
      <c r="S191" s="252">
        <f t="shared" si="62"/>
        <v>8.3333333333333329E-2</v>
      </c>
      <c r="T191" s="253"/>
      <c r="U191" s="250">
        <v>5419.78</v>
      </c>
      <c r="V191" s="250">
        <v>4800</v>
      </c>
      <c r="W191" s="252">
        <f t="shared" si="63"/>
        <v>0.12912083333333327</v>
      </c>
      <c r="X191" s="684" t="s">
        <v>517</v>
      </c>
      <c r="Y191" s="58"/>
      <c r="AG191" s="1">
        <f t="shared" si="64"/>
        <v>5200</v>
      </c>
      <c r="AK191" s="1">
        <f t="shared" si="65"/>
        <v>5419.78</v>
      </c>
    </row>
    <row r="192" spans="1:37" ht="29.5" customHeight="1">
      <c r="C192" s="418"/>
      <c r="D192" s="419"/>
      <c r="P192" s="422"/>
      <c r="Q192" s="422"/>
      <c r="R192" s="423"/>
      <c r="S192" s="424"/>
      <c r="T192" s="418"/>
      <c r="U192" s="422"/>
      <c r="V192" s="422"/>
      <c r="W192" s="424"/>
      <c r="X192" s="244" t="s">
        <v>406</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28719.969999999998</v>
      </c>
      <c r="V193" s="27">
        <f>SUM(V178:V191)</f>
        <v>30570.889999999996</v>
      </c>
      <c r="W193" s="28">
        <f t="shared" si="63"/>
        <v>-6.0545178763195921E-2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8" t="s">
        <v>71</v>
      </c>
      <c r="D196" s="419"/>
      <c r="E196" s="420"/>
      <c r="F196" s="421"/>
      <c r="G196" s="421"/>
      <c r="H196" s="421"/>
      <c r="I196" s="421"/>
      <c r="J196" s="421"/>
      <c r="K196" s="421"/>
      <c r="L196" s="421"/>
      <c r="M196" s="421"/>
      <c r="N196" s="421"/>
      <c r="O196" s="418"/>
      <c r="P196" s="426">
        <f>ROUND(3074.25+(3*(3074.25*1.05)),0)</f>
        <v>12758</v>
      </c>
      <c r="Q196" s="426">
        <v>15500</v>
      </c>
      <c r="R196" s="423">
        <f t="shared" ref="R196:R208" si="66">+P196-Q196</f>
        <v>-2742</v>
      </c>
      <c r="S196" s="424">
        <f t="shared" ref="S196:S210" si="67">IF(Q196=0,"NA",(+P196-Q196)/Q196)</f>
        <v>-0.17690322580645162</v>
      </c>
      <c r="T196" s="418"/>
      <c r="U196" s="422">
        <v>9041.5</v>
      </c>
      <c r="V196" s="422">
        <v>11625</v>
      </c>
      <c r="W196" s="424">
        <f t="shared" ref="W196:W210" si="68">IF(V196=0,"NA",(+U196-V196)/V196)</f>
        <v>-0.22223655913978493</v>
      </c>
      <c r="X196" s="583" t="s">
        <v>521</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4166.66</v>
      </c>
      <c r="W198" s="252">
        <f t="shared" si="68"/>
        <v>-0.15836665338664535</v>
      </c>
      <c r="X198" s="583" t="s">
        <v>481</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412</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10429.67</v>
      </c>
      <c r="V200" s="250">
        <v>4125</v>
      </c>
      <c r="W200" s="252">
        <f t="shared" si="68"/>
        <v>1.5284048484848485</v>
      </c>
      <c r="X200" s="583" t="s">
        <v>481</v>
      </c>
      <c r="Y200" s="58"/>
      <c r="AG200" s="1">
        <f t="shared" si="69"/>
        <v>4500</v>
      </c>
      <c r="AK200" s="1">
        <f t="shared" si="70"/>
        <v>10429.67</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5" t="s">
        <v>499</v>
      </c>
      <c r="Y201" s="58"/>
    </row>
    <row r="202" spans="1:37">
      <c r="A202" s="43">
        <v>145</v>
      </c>
      <c r="C202" s="875" t="s">
        <v>100</v>
      </c>
      <c r="D202" s="875"/>
      <c r="E202" s="428"/>
      <c r="F202" s="428"/>
      <c r="G202" s="428"/>
      <c r="H202" s="428"/>
      <c r="I202" s="428"/>
      <c r="J202" s="428"/>
      <c r="K202" s="428"/>
      <c r="L202" s="428"/>
      <c r="M202" s="428"/>
      <c r="N202" s="428"/>
      <c r="O202" s="427"/>
      <c r="P202" s="267">
        <v>6000</v>
      </c>
      <c r="Q202" s="250">
        <v>6000</v>
      </c>
      <c r="R202" s="251">
        <f t="shared" si="66"/>
        <v>0</v>
      </c>
      <c r="S202" s="252">
        <f t="shared" si="67"/>
        <v>0</v>
      </c>
      <c r="T202" s="253"/>
      <c r="U202" s="250">
        <v>4943.6899999999996</v>
      </c>
      <c r="V202" s="250">
        <v>5500</v>
      </c>
      <c r="W202" s="252">
        <f t="shared" si="68"/>
        <v>-0.10114727272727279</v>
      </c>
      <c r="X202" s="583" t="s">
        <v>481</v>
      </c>
      <c r="Y202" s="58"/>
      <c r="AG202" s="1">
        <f t="shared" si="69"/>
        <v>6000</v>
      </c>
      <c r="AK202" s="1">
        <f t="shared" si="70"/>
        <v>4943.6899999999996</v>
      </c>
    </row>
    <row r="203" spans="1:37" ht="29">
      <c r="C203" s="429"/>
      <c r="D203" s="429"/>
      <c r="E203" s="430"/>
      <c r="F203" s="430"/>
      <c r="G203" s="430"/>
      <c r="H203" s="430"/>
      <c r="I203" s="430"/>
      <c r="J203" s="430"/>
      <c r="K203" s="430"/>
      <c r="L203" s="430"/>
      <c r="M203" s="430"/>
      <c r="N203" s="430"/>
      <c r="O203" s="429"/>
      <c r="P203" s="426"/>
      <c r="Q203" s="422"/>
      <c r="R203" s="423"/>
      <c r="S203" s="424"/>
      <c r="T203" s="418"/>
      <c r="U203" s="422"/>
      <c r="V203" s="422"/>
      <c r="W203" s="424"/>
      <c r="X203" s="425" t="s">
        <v>497</v>
      </c>
      <c r="Y203" s="58"/>
    </row>
    <row r="204" spans="1:37" ht="43.5">
      <c r="C204" s="429"/>
      <c r="D204" s="429"/>
      <c r="E204" s="430"/>
      <c r="F204" s="430"/>
      <c r="G204" s="430"/>
      <c r="H204" s="430"/>
      <c r="I204" s="430"/>
      <c r="J204" s="430"/>
      <c r="K204" s="430"/>
      <c r="L204" s="430"/>
      <c r="M204" s="430"/>
      <c r="N204" s="430"/>
      <c r="O204" s="429"/>
      <c r="P204" s="426"/>
      <c r="Q204" s="422"/>
      <c r="R204" s="423"/>
      <c r="S204" s="424"/>
      <c r="T204" s="418"/>
      <c r="U204" s="422"/>
      <c r="V204" s="422"/>
      <c r="W204" s="424"/>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9166.6299999999992</v>
      </c>
      <c r="W205" s="252">
        <f t="shared" si="68"/>
        <v>-0.39158665725571984</v>
      </c>
      <c r="X205" s="583" t="s">
        <v>481</v>
      </c>
      <c r="Y205" s="58"/>
      <c r="AG205" s="1">
        <f t="shared" si="69"/>
        <v>10000</v>
      </c>
      <c r="AK205" s="1">
        <f t="shared" si="70"/>
        <v>5577.1</v>
      </c>
    </row>
    <row r="206" spans="1:37">
      <c r="C206" s="418"/>
      <c r="D206" s="419"/>
      <c r="E206" s="420"/>
      <c r="F206" s="421"/>
      <c r="G206" s="421"/>
      <c r="H206" s="421"/>
      <c r="I206" s="421"/>
      <c r="J206" s="421"/>
      <c r="K206" s="421"/>
      <c r="L206" s="421"/>
      <c r="M206" s="421"/>
      <c r="N206" s="421"/>
      <c r="O206" s="418"/>
      <c r="P206" s="422"/>
      <c r="Q206" s="422"/>
      <c r="R206" s="423"/>
      <c r="S206" s="424"/>
      <c r="T206" s="418"/>
      <c r="U206" s="426"/>
      <c r="V206" s="422"/>
      <c r="W206" s="424"/>
      <c r="X206" s="687" t="s">
        <v>501</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33498.76</v>
      </c>
      <c r="V209" s="27">
        <f>SUM(V196:V208)</f>
        <v>34583.29</v>
      </c>
      <c r="W209" s="28">
        <f t="shared" si="68"/>
        <v>-3.1359942908844092E-2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62218.729999999996</v>
      </c>
      <c r="V210" s="27">
        <f>+V193+V209</f>
        <v>65154.179999999993</v>
      </c>
      <c r="W210" s="28">
        <f t="shared" si="68"/>
        <v>-4.5053901376703648E-2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-8185</v>
      </c>
      <c r="Q214" s="268">
        <v>0</v>
      </c>
      <c r="R214" s="241">
        <f t="shared" ref="R214:R219" si="71">+P214-Q214</f>
        <v>-8185</v>
      </c>
      <c r="S214" s="242" t="str">
        <f t="shared" ref="S214:S220" si="72">IF(Q214=0,"NA",(+P214-Q214)/Q214)</f>
        <v>NA</v>
      </c>
      <c r="T214" s="243"/>
      <c r="U214" s="240">
        <v>0</v>
      </c>
      <c r="V214" s="240">
        <v>0</v>
      </c>
      <c r="W214" s="242" t="str">
        <f t="shared" ref="W214:W220" si="73">IF(V214=0,"NA",(+U214-V214)/V214)</f>
        <v>NA</v>
      </c>
      <c r="X214" s="244" t="s">
        <v>374</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375</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-8185</v>
      </c>
      <c r="Q220" s="29">
        <f>SUM(Q214:Q219)</f>
        <v>16</v>
      </c>
      <c r="R220" s="29">
        <f>SUM(R214:R219)</f>
        <v>-8201</v>
      </c>
      <c r="S220" s="30">
        <f t="shared" si="72"/>
        <v>-512.5625</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498500</v>
      </c>
      <c r="Q222" s="31">
        <f>+Q104+Q174+Q210+Q220+Q43</f>
        <v>500500</v>
      </c>
      <c r="R222" s="31">
        <f>+R104+R174+R210+R220+R43</f>
        <v>-2000</v>
      </c>
      <c r="S222" s="33">
        <f>IF(Q222=0,"NA",(+P222-Q222)/Q222)</f>
        <v>-3.996003996003996E-3</v>
      </c>
      <c r="U222" s="31">
        <f>+U104+U174+U210+U220+U43</f>
        <v>367238.95999999996</v>
      </c>
      <c r="V222" s="31">
        <f>+V104+V174+V210+V220+V43</f>
        <v>451547.92</v>
      </c>
      <c r="W222" s="33">
        <f>IF(V222=0,"NA",(+U222-V222)/V222)</f>
        <v>-0.18671099182562956</v>
      </c>
      <c r="X222" s="73"/>
      <c r="Y222" s="59"/>
      <c r="AD222" s="409">
        <f>+SUM(AD5:AD220)-AD95-AD117-AD129-AD139-AD158-AD160</f>
        <v>163506.67400000003</v>
      </c>
      <c r="AE222" s="409">
        <f>+SUM(AE5:AE220)-AE95-AE117-AE129-AE139-AE158-AE160</f>
        <v>98137.924000000014</v>
      </c>
      <c r="AF222" s="409">
        <f>+SUM(AF5:AF220)-AF95-AF117-AF129-AF139-AF158-AF160</f>
        <v>130724.95200000003</v>
      </c>
      <c r="AG222" s="409">
        <f>+SUM(AG5:AG220)-AG95-AG117-AG129-AG139-AG158-AG160</f>
        <v>114315.45</v>
      </c>
      <c r="AH222" s="409">
        <f>+SUM(AH5:AH220)-AH95-AH117-AH129-AH139-AH158</f>
        <v>116280.38049000003</v>
      </c>
      <c r="AI222" s="409">
        <f>+SUM(AI5:AI220)-AI95-AI117-AI129-AI139-AI158</f>
        <v>58832.975489999997</v>
      </c>
      <c r="AJ222" s="409">
        <f>+SUM(AJ5:AJ220)-AJ95-AJ117-AJ129-AJ139-AJ158</f>
        <v>97152.921020000023</v>
      </c>
      <c r="AK222" s="409">
        <f>+SUM(AK5:AK220)-AK95-AK117-AK129-AK139-AK158</f>
        <v>95103.944000000003</v>
      </c>
    </row>
    <row r="223" spans="1:37">
      <c r="A223" s="43">
        <v>162</v>
      </c>
      <c r="B223" s="31" t="s">
        <v>83</v>
      </c>
      <c r="C223" s="32"/>
      <c r="D223" s="32"/>
      <c r="E223" s="92"/>
      <c r="F223" s="92"/>
      <c r="G223" s="92"/>
      <c r="H223" s="92"/>
      <c r="I223" s="92"/>
      <c r="J223" s="92"/>
      <c r="K223" s="92"/>
      <c r="L223" s="92"/>
      <c r="M223" s="92"/>
      <c r="N223" s="92"/>
      <c r="O223" s="32"/>
      <c r="P223" s="31">
        <f>ROUND(+P24-P222,0)</f>
        <v>0</v>
      </c>
      <c r="Q223" s="31">
        <f>ROUND(+Q24-Q222,0)</f>
        <v>0</v>
      </c>
      <c r="R223" s="31">
        <f>ROUND(+R24-R222,0)</f>
        <v>0</v>
      </c>
      <c r="S223" s="33" t="str">
        <f>IF(Q223=0,"NA",(+P223-Q223)/Q223)</f>
        <v>NA</v>
      </c>
      <c r="U223" s="31">
        <f>+U24-U222</f>
        <v>75859.97000000003</v>
      </c>
      <c r="V223" s="31">
        <f>+V24-V222</f>
        <v>1228.5900000000256</v>
      </c>
      <c r="W223" s="33">
        <f>IF(V223=0,"NA",(+U223-V223)/V223)</f>
        <v>60.745553846277808</v>
      </c>
      <c r="X223" s="73"/>
      <c r="Y223" s="59"/>
      <c r="AD223" s="1">
        <f>SUM(AD222:AG222)-P222</f>
        <v>8185.0000000001164</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443098.93</v>
      </c>
      <c r="V225" s="108">
        <f>+V24-V22</f>
        <v>452776.51</v>
      </c>
      <c r="W225" s="111">
        <f>IF(V225=0,"NA",(+U225-V225)/V225)</f>
        <v>-2.1373856165815705E-2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506685</v>
      </c>
      <c r="Q226" s="102">
        <f>+Q222-Q220</f>
        <v>500484</v>
      </c>
      <c r="R226" s="103">
        <f>+P226-Q226</f>
        <v>6201</v>
      </c>
      <c r="S226" s="104">
        <f>IF(Q226=0,"NA",(+P226-Q226)/Q226)</f>
        <v>1.2390006473733426E-2</v>
      </c>
      <c r="T226" s="100"/>
      <c r="U226" s="102">
        <f>+U222-U220</f>
        <v>367238.95999999996</v>
      </c>
      <c r="V226" s="102">
        <f>+V222-V220</f>
        <v>451547.92</v>
      </c>
      <c r="W226" s="113">
        <f>IF(V226=0,"NA",(+U226-V226)/V226)</f>
        <v>-0.18671099182562956</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-8185</v>
      </c>
      <c r="Q227" s="118">
        <f>+Q225-Q226</f>
        <v>16</v>
      </c>
      <c r="R227" s="119">
        <f>+P227-Q227</f>
        <v>-8201</v>
      </c>
      <c r="S227" s="120">
        <f>IF(Q227=0,"NA",(+P227-Q227)/Q227)</f>
        <v>-512.5625</v>
      </c>
      <c r="T227" s="115"/>
      <c r="U227" s="118">
        <f>+U225-U226</f>
        <v>75859.97000000003</v>
      </c>
      <c r="V227" s="118">
        <f>+V225-V226</f>
        <v>1228.5900000000256</v>
      </c>
      <c r="W227" s="121">
        <f>IF(V227=0,"NA",(+U227-V227)/V227)</f>
        <v>60.745553846277808</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I103:L103"/>
    <mergeCell ref="C111:D111"/>
    <mergeCell ref="C153:D153"/>
    <mergeCell ref="G120:H120"/>
    <mergeCell ref="C202:D202"/>
    <mergeCell ref="E157:H157"/>
    <mergeCell ref="I157:L157"/>
    <mergeCell ref="E156:O156"/>
    <mergeCell ref="L111:O111"/>
    <mergeCell ref="C169:D169"/>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s>
  <pageMargins left="0" right="0" top="0.25" bottom="0.5" header="0.3" footer="0.3"/>
  <pageSetup scale="39" fitToHeight="0" orientation="landscape" r:id="rId1"/>
  <headerFooter>
    <oddFooter>&amp;C&amp;P of &amp;N&amp;R&amp;D</oddFooter>
  </headerFooter>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45"/>
  <sheetViews>
    <sheetView showGridLines="0" topLeftCell="A28" workbookViewId="0">
      <selection activeCell="F8" sqref="F8"/>
    </sheetView>
  </sheetViews>
  <sheetFormatPr defaultRowHeight="15.5"/>
  <cols>
    <col min="1" max="1" width="4.7265625" style="372" customWidth="1"/>
    <col min="2" max="2" width="33.26953125" style="372" customWidth="1"/>
    <col min="3" max="3" width="8.81640625" style="404" customWidth="1"/>
    <col min="4" max="4" width="15.7265625" style="372" customWidth="1"/>
    <col min="5" max="5" width="10.1796875" style="372" customWidth="1"/>
    <col min="6" max="6" width="13.90625" style="372" customWidth="1"/>
    <col min="7" max="7" width="11.26953125" style="404" customWidth="1"/>
    <col min="8" max="8" width="11.36328125" style="372" customWidth="1"/>
    <col min="9" max="9" width="50.90625" style="372" customWidth="1"/>
    <col min="10" max="10" width="8.7265625" style="372"/>
    <col min="11" max="11" width="9.453125" style="372" bestFit="1" customWidth="1"/>
    <col min="12" max="16384" width="8.7265625" style="372"/>
  </cols>
  <sheetData>
    <row r="1" spans="1:9" ht="20">
      <c r="A1" s="902" t="s">
        <v>87</v>
      </c>
      <c r="B1" s="902"/>
      <c r="C1" s="902"/>
      <c r="D1" s="902"/>
      <c r="E1" s="902"/>
      <c r="F1" s="902"/>
      <c r="G1" s="902"/>
      <c r="H1" s="902"/>
      <c r="I1" s="902"/>
    </row>
    <row r="2" spans="1:9" ht="18.5" customHeight="1">
      <c r="A2" s="901" t="s">
        <v>573</v>
      </c>
      <c r="B2" s="901"/>
      <c r="C2" s="901"/>
      <c r="D2" s="901"/>
      <c r="E2" s="901"/>
      <c r="F2" s="901"/>
      <c r="G2" s="901"/>
      <c r="H2" s="901"/>
      <c r="I2" s="901"/>
    </row>
    <row r="3" spans="1:9" ht="18.5" customHeight="1" thickBot="1">
      <c r="A3" s="750"/>
      <c r="B3" s="750"/>
      <c r="C3" s="750"/>
      <c r="D3" s="750"/>
      <c r="E3" s="750"/>
      <c r="F3" s="750"/>
      <c r="G3" s="901"/>
      <c r="H3" s="901"/>
      <c r="I3" s="750"/>
    </row>
    <row r="4" spans="1:9" ht="18.5" customHeight="1">
      <c r="A4" s="884" t="s">
        <v>572</v>
      </c>
      <c r="B4" s="885"/>
      <c r="C4" s="885"/>
      <c r="D4" s="885"/>
      <c r="E4" s="795"/>
      <c r="F4" s="882" t="str">
        <f>+'New Year-Full Year'!P3&amp;" Proposed"</f>
        <v>2021 Budget Proposed</v>
      </c>
      <c r="G4" s="882" t="str">
        <f>+'New Year-Full Year'!P3&amp;" Current"</f>
        <v>2021 Budget Current</v>
      </c>
      <c r="H4" s="882" t="str">
        <f>+'New Year-Full Year'!Q3</f>
        <v>2020 Budget</v>
      </c>
      <c r="I4" s="796"/>
    </row>
    <row r="5" spans="1:9" ht="38" customHeight="1" thickBot="1">
      <c r="A5" s="797"/>
      <c r="B5" s="798" t="s">
        <v>576</v>
      </c>
      <c r="C5" s="799" t="s">
        <v>581</v>
      </c>
      <c r="D5" s="800" t="s">
        <v>577</v>
      </c>
      <c r="E5" s="800"/>
      <c r="F5" s="883"/>
      <c r="G5" s="883"/>
      <c r="H5" s="883"/>
      <c r="I5" s="801" t="s">
        <v>589</v>
      </c>
    </row>
    <row r="6" spans="1:9" ht="18.5" customHeight="1">
      <c r="A6" s="804" t="s">
        <v>506</v>
      </c>
      <c r="B6" s="805" t="s">
        <v>578</v>
      </c>
      <c r="C6" s="806" t="s">
        <v>582</v>
      </c>
      <c r="D6" s="895" t="s">
        <v>109</v>
      </c>
      <c r="E6" s="895"/>
      <c r="F6" s="782">
        <f>ROUND(+H6*1.01,0)-13</f>
        <v>16385</v>
      </c>
      <c r="G6" s="807">
        <f>+'New Year-Full Year'!P149</f>
        <v>16385</v>
      </c>
      <c r="H6" s="807">
        <f>+'New Year-Full Year'!Q149</f>
        <v>16236</v>
      </c>
      <c r="I6" s="900" t="s">
        <v>601</v>
      </c>
    </row>
    <row r="7" spans="1:9" ht="18.5" customHeight="1">
      <c r="A7" s="808"/>
      <c r="B7" s="784" t="s">
        <v>574</v>
      </c>
      <c r="C7" s="784"/>
      <c r="D7" s="896"/>
      <c r="E7" s="896"/>
      <c r="F7" s="785">
        <f>+F6-$H6</f>
        <v>149</v>
      </c>
      <c r="G7" s="786">
        <f>+G6-$H6</f>
        <v>149</v>
      </c>
      <c r="H7" s="784"/>
      <c r="I7" s="890"/>
    </row>
    <row r="8" spans="1:9" ht="16" thickBot="1">
      <c r="A8" s="390"/>
      <c r="B8" s="377" t="s">
        <v>580</v>
      </c>
      <c r="C8" s="787"/>
      <c r="D8" s="897"/>
      <c r="E8" s="897"/>
      <c r="F8" s="975">
        <f>+F7/$H6</f>
        <v>9.1771372259177135E-3</v>
      </c>
      <c r="G8" s="788">
        <f>+G7/$H6</f>
        <v>9.1771372259177135E-3</v>
      </c>
      <c r="H8" s="377"/>
      <c r="I8" s="894"/>
    </row>
    <row r="9" spans="1:9" ht="18.5" customHeight="1">
      <c r="A9" s="809" t="s">
        <v>507</v>
      </c>
      <c r="B9" s="781" t="s">
        <v>579</v>
      </c>
      <c r="C9" s="780" t="s">
        <v>582</v>
      </c>
      <c r="D9" s="898" t="s">
        <v>596</v>
      </c>
      <c r="E9" s="898"/>
      <c r="F9" s="782">
        <f>ROUND(+H9*1.01,0)</f>
        <v>3091</v>
      </c>
      <c r="G9" s="783">
        <f>+'New Year-Full Year'!P150</f>
        <v>3091</v>
      </c>
      <c r="H9" s="783">
        <f>+'New Year-Full Year'!Q150</f>
        <v>3060</v>
      </c>
      <c r="I9" s="900" t="s">
        <v>601</v>
      </c>
    </row>
    <row r="10" spans="1:9" ht="18.5" customHeight="1">
      <c r="A10" s="808"/>
      <c r="B10" s="784" t="s">
        <v>574</v>
      </c>
      <c r="C10" s="784"/>
      <c r="D10" s="896"/>
      <c r="E10" s="896"/>
      <c r="F10" s="785">
        <f>+F9-$H9</f>
        <v>31</v>
      </c>
      <c r="G10" s="786">
        <f>+G9-$H9</f>
        <v>31</v>
      </c>
      <c r="H10" s="784"/>
      <c r="I10" s="890"/>
    </row>
    <row r="11" spans="1:9">
      <c r="A11" s="390"/>
      <c r="B11" s="377" t="s">
        <v>580</v>
      </c>
      <c r="C11" s="787"/>
      <c r="D11" s="897"/>
      <c r="E11" s="897"/>
      <c r="F11" s="788">
        <f>+F10/$H9</f>
        <v>1.0130718954248366E-2</v>
      </c>
      <c r="G11" s="788">
        <f>+G10/$H9</f>
        <v>1.0130718954248366E-2</v>
      </c>
      <c r="H11" s="377"/>
      <c r="I11" s="894"/>
    </row>
    <row r="12" spans="1:9" ht="18.5" customHeight="1">
      <c r="A12" s="809" t="s">
        <v>508</v>
      </c>
      <c r="B12" s="781" t="s">
        <v>394</v>
      </c>
      <c r="C12" s="780" t="s">
        <v>582</v>
      </c>
      <c r="D12" s="898" t="s">
        <v>49</v>
      </c>
      <c r="E12" s="898"/>
      <c r="F12" s="782">
        <v>7634</v>
      </c>
      <c r="G12" s="783">
        <f>+'New Year-Full Year'!P155</f>
        <v>7634</v>
      </c>
      <c r="H12" s="783">
        <f>+'New Year-Full Year'!Q155</f>
        <v>7634</v>
      </c>
      <c r="I12" s="889" t="s">
        <v>590</v>
      </c>
    </row>
    <row r="13" spans="1:9" ht="18.5" customHeight="1">
      <c r="A13" s="808"/>
      <c r="B13" s="784" t="s">
        <v>574</v>
      </c>
      <c r="C13" s="784"/>
      <c r="D13" s="896"/>
      <c r="E13" s="896"/>
      <c r="F13" s="785">
        <f>+F12-$H12</f>
        <v>0</v>
      </c>
      <c r="G13" s="786">
        <f>+G12-$H12</f>
        <v>0</v>
      </c>
      <c r="H13" s="784"/>
      <c r="I13" s="890"/>
    </row>
    <row r="14" spans="1:9" ht="16" thickBot="1">
      <c r="A14" s="383"/>
      <c r="B14" s="384" t="s">
        <v>580</v>
      </c>
      <c r="C14" s="810"/>
      <c r="D14" s="899"/>
      <c r="E14" s="899"/>
      <c r="F14" s="811">
        <f>+F13/$H12</f>
        <v>0</v>
      </c>
      <c r="G14" s="811">
        <f>+G13/$H12</f>
        <v>0</v>
      </c>
      <c r="H14" s="384"/>
      <c r="I14" s="891"/>
    </row>
    <row r="15" spans="1:9" ht="16" thickBot="1"/>
    <row r="16" spans="1:9" ht="18.5" customHeight="1">
      <c r="A16" s="884" t="s">
        <v>584</v>
      </c>
      <c r="B16" s="885"/>
      <c r="C16" s="885"/>
      <c r="D16" s="885"/>
      <c r="E16" s="795"/>
      <c r="F16" s="882" t="str">
        <f>+F$4</f>
        <v>2021 Budget Proposed</v>
      </c>
      <c r="G16" s="882" t="str">
        <f t="shared" ref="G16:H16" si="0">+G$4</f>
        <v>2021 Budget Current</v>
      </c>
      <c r="H16" s="882" t="str">
        <f t="shared" si="0"/>
        <v>2020 Budget</v>
      </c>
      <c r="I16" s="796"/>
    </row>
    <row r="17" spans="1:11" ht="38" customHeight="1" thickBot="1">
      <c r="A17" s="797"/>
      <c r="B17" s="798" t="s">
        <v>576</v>
      </c>
      <c r="C17" s="799" t="s">
        <v>585</v>
      </c>
      <c r="D17" s="883" t="s">
        <v>586</v>
      </c>
      <c r="E17" s="883"/>
      <c r="F17" s="883"/>
      <c r="G17" s="883"/>
      <c r="H17" s="883"/>
      <c r="I17" s="801" t="str">
        <f>+I$5</f>
        <v>Notes / Rational for change</v>
      </c>
    </row>
    <row r="18" spans="1:11">
      <c r="A18" s="808" t="s">
        <v>506</v>
      </c>
      <c r="B18" s="749" t="s">
        <v>583</v>
      </c>
      <c r="C18" s="802">
        <v>25</v>
      </c>
      <c r="D18" s="793" t="s">
        <v>587</v>
      </c>
      <c r="E18" s="813">
        <v>13.78</v>
      </c>
      <c r="F18" s="803">
        <f>+$C18*$E18*52</f>
        <v>17914</v>
      </c>
      <c r="G18" s="803">
        <f>+$C18*$E19*52</f>
        <v>17914</v>
      </c>
      <c r="H18" s="803">
        <f>+$C18*$E20*52</f>
        <v>17732</v>
      </c>
      <c r="I18" s="890" t="s">
        <v>602</v>
      </c>
      <c r="K18" s="376"/>
    </row>
    <row r="19" spans="1:11">
      <c r="A19" s="808"/>
      <c r="B19" s="784" t="s">
        <v>574</v>
      </c>
      <c r="C19" s="789"/>
      <c r="D19" s="793" t="s">
        <v>588</v>
      </c>
      <c r="E19" s="813">
        <v>13.78</v>
      </c>
      <c r="F19" s="785">
        <f>+F18-$H18</f>
        <v>182</v>
      </c>
      <c r="G19" s="786">
        <f>+G18-$H18</f>
        <v>182</v>
      </c>
      <c r="H19" s="375"/>
      <c r="I19" s="890"/>
    </row>
    <row r="20" spans="1:11">
      <c r="A20" s="390"/>
      <c r="B20" s="377" t="s">
        <v>580</v>
      </c>
      <c r="C20" s="787"/>
      <c r="D20" s="794" t="s">
        <v>331</v>
      </c>
      <c r="E20" s="814">
        <v>13.64</v>
      </c>
      <c r="F20" s="788">
        <f>+F19/$H18</f>
        <v>1.0263929618768328E-2</v>
      </c>
      <c r="G20" s="788">
        <f>+G19/$H18</f>
        <v>1.0263929618768328E-2</v>
      </c>
      <c r="H20" s="377"/>
      <c r="I20" s="894"/>
    </row>
    <row r="21" spans="1:11">
      <c r="A21" s="809" t="s">
        <v>507</v>
      </c>
      <c r="B21" s="781" t="s">
        <v>591</v>
      </c>
      <c r="C21" s="791">
        <v>20</v>
      </c>
      <c r="D21" s="792" t="s">
        <v>587</v>
      </c>
      <c r="E21" s="815">
        <v>11.57</v>
      </c>
      <c r="F21" s="803">
        <f>+$C21*$E21*52</f>
        <v>12032.800000000001</v>
      </c>
      <c r="G21" s="803">
        <f>+$C21*$E22*52</f>
        <v>12157.599999999999</v>
      </c>
      <c r="H21" s="803">
        <f>+$C21*$E23*52</f>
        <v>12032.800000000001</v>
      </c>
      <c r="I21" s="889" t="s">
        <v>593</v>
      </c>
    </row>
    <row r="22" spans="1:11">
      <c r="A22" s="808"/>
      <c r="B22" s="784" t="s">
        <v>574</v>
      </c>
      <c r="C22" s="789"/>
      <c r="D22" s="793" t="s">
        <v>588</v>
      </c>
      <c r="E22" s="813">
        <v>11.69</v>
      </c>
      <c r="F22" s="785">
        <f>+F21-$H21</f>
        <v>0</v>
      </c>
      <c r="G22" s="786">
        <f>+G21-$H21</f>
        <v>124.79999999999745</v>
      </c>
      <c r="H22" s="375"/>
      <c r="I22" s="890"/>
    </row>
    <row r="23" spans="1:11">
      <c r="A23" s="390"/>
      <c r="B23" s="377" t="s">
        <v>580</v>
      </c>
      <c r="C23" s="787"/>
      <c r="D23" s="794" t="s">
        <v>331</v>
      </c>
      <c r="E23" s="814">
        <v>11.57</v>
      </c>
      <c r="F23" s="788">
        <f>+F22/$H21</f>
        <v>0</v>
      </c>
      <c r="G23" s="788">
        <f>+G22/$H21</f>
        <v>1.0371650821088811E-2</v>
      </c>
      <c r="H23" s="377"/>
      <c r="I23" s="894"/>
    </row>
    <row r="24" spans="1:11" ht="15.5" customHeight="1">
      <c r="A24" s="809" t="s">
        <v>508</v>
      </c>
      <c r="B24" s="781" t="s">
        <v>592</v>
      </c>
      <c r="C24" s="791">
        <v>7.5</v>
      </c>
      <c r="D24" s="792" t="s">
        <v>587</v>
      </c>
      <c r="E24" s="815">
        <v>11.22</v>
      </c>
      <c r="F24" s="803">
        <f>+$C24*$E24*52</f>
        <v>4375.8</v>
      </c>
      <c r="G24" s="803">
        <f>+$C24*$E25*52</f>
        <v>4418.7</v>
      </c>
      <c r="H24" s="803">
        <f>+$C24*$E26*52</f>
        <v>4375.8</v>
      </c>
      <c r="I24" s="889" t="s">
        <v>593</v>
      </c>
    </row>
    <row r="25" spans="1:11">
      <c r="A25" s="808"/>
      <c r="B25" s="784" t="s">
        <v>574</v>
      </c>
      <c r="C25" s="789"/>
      <c r="D25" s="793" t="s">
        <v>588</v>
      </c>
      <c r="E25" s="813">
        <v>11.33</v>
      </c>
      <c r="F25" s="785">
        <f>+F24-$H24</f>
        <v>0</v>
      </c>
      <c r="G25" s="786">
        <f>+G24-$H24</f>
        <v>42.899999999999636</v>
      </c>
      <c r="H25" s="375"/>
      <c r="I25" s="890"/>
    </row>
    <row r="26" spans="1:11">
      <c r="A26" s="390"/>
      <c r="B26" s="377" t="s">
        <v>580</v>
      </c>
      <c r="C26" s="787"/>
      <c r="D26" s="794" t="s">
        <v>331</v>
      </c>
      <c r="E26" s="814">
        <v>11.22</v>
      </c>
      <c r="F26" s="788">
        <f>+F25/$H24</f>
        <v>0</v>
      </c>
      <c r="G26" s="788">
        <f>+G25/$H24</f>
        <v>9.8039215686273676E-3</v>
      </c>
      <c r="H26" s="377"/>
      <c r="I26" s="894"/>
    </row>
    <row r="27" spans="1:11" ht="18.5" customHeight="1">
      <c r="A27" s="809" t="s">
        <v>511</v>
      </c>
      <c r="B27" s="781" t="s">
        <v>575</v>
      </c>
      <c r="C27" s="791">
        <v>40</v>
      </c>
      <c r="D27" s="792" t="s">
        <v>587</v>
      </c>
      <c r="E27" s="815">
        <f>ROUND(+E29*1.02,2)</f>
        <v>17.690000000000001</v>
      </c>
      <c r="F27" s="803">
        <f>+$C27*$E27*52</f>
        <v>36795.200000000004</v>
      </c>
      <c r="G27" s="803">
        <f>+$C27*$E28*52</f>
        <v>36420.800000000003</v>
      </c>
      <c r="H27" s="803">
        <f>+$C27*$E29*52</f>
        <v>36067.200000000004</v>
      </c>
      <c r="I27" s="889" t="s">
        <v>595</v>
      </c>
    </row>
    <row r="28" spans="1:11" ht="18.5" customHeight="1">
      <c r="A28" s="808"/>
      <c r="B28" s="784" t="s">
        <v>574</v>
      </c>
      <c r="C28" s="789"/>
      <c r="D28" s="793" t="s">
        <v>588</v>
      </c>
      <c r="E28" s="813">
        <v>17.510000000000002</v>
      </c>
      <c r="F28" s="785">
        <f>+F27-$H27</f>
        <v>728</v>
      </c>
      <c r="G28" s="786">
        <f>+G27-$H27</f>
        <v>353.59999999999854</v>
      </c>
      <c r="H28" s="375"/>
      <c r="I28" s="890"/>
    </row>
    <row r="29" spans="1:11">
      <c r="A29" s="390"/>
      <c r="B29" s="377" t="s">
        <v>580</v>
      </c>
      <c r="C29" s="787"/>
      <c r="D29" s="794" t="s">
        <v>331</v>
      </c>
      <c r="E29" s="814">
        <v>17.34</v>
      </c>
      <c r="F29" s="788">
        <f>+F28/$H27</f>
        <v>2.0184544405997689E-2</v>
      </c>
      <c r="G29" s="788">
        <f>+G28/$H27</f>
        <v>9.8039215686274092E-3</v>
      </c>
      <c r="H29" s="377"/>
      <c r="I29" s="894"/>
    </row>
    <row r="30" spans="1:11" ht="18.5" customHeight="1">
      <c r="A30" s="808" t="s">
        <v>512</v>
      </c>
      <c r="B30" s="749" t="s">
        <v>594</v>
      </c>
      <c r="C30" s="802">
        <v>15</v>
      </c>
      <c r="D30" s="793" t="s">
        <v>587</v>
      </c>
      <c r="E30" s="813">
        <f>ROUND(+E32*(1+0),2)</f>
        <v>14.57</v>
      </c>
      <c r="F30" s="803">
        <f>+$C30*$E30*52</f>
        <v>11364.6</v>
      </c>
      <c r="G30" s="803">
        <f>+$C30*$E31*52</f>
        <v>11481.6</v>
      </c>
      <c r="H30" s="803">
        <f>+$C30*$E32*52</f>
        <v>11364.6</v>
      </c>
      <c r="I30" s="890" t="s">
        <v>593</v>
      </c>
    </row>
    <row r="31" spans="1:11" ht="18.5" customHeight="1">
      <c r="A31" s="808"/>
      <c r="B31" s="784" t="s">
        <v>574</v>
      </c>
      <c r="C31" s="789"/>
      <c r="D31" s="793" t="s">
        <v>588</v>
      </c>
      <c r="E31" s="813">
        <v>14.72</v>
      </c>
      <c r="F31" s="785">
        <f>+F30-$H30</f>
        <v>0</v>
      </c>
      <c r="G31" s="786">
        <f>+G30-$H30</f>
        <v>117</v>
      </c>
      <c r="H31" s="375"/>
      <c r="I31" s="890"/>
    </row>
    <row r="32" spans="1:11" ht="16" thickBot="1">
      <c r="A32" s="383"/>
      <c r="B32" s="384" t="s">
        <v>580</v>
      </c>
      <c r="C32" s="810"/>
      <c r="D32" s="822" t="s">
        <v>331</v>
      </c>
      <c r="E32" s="823">
        <v>14.57</v>
      </c>
      <c r="F32" s="826">
        <f>+F31/$H30</f>
        <v>0</v>
      </c>
      <c r="G32" s="811">
        <f>+G31/$H30</f>
        <v>1.029512697323267E-2</v>
      </c>
      <c r="H32" s="384"/>
      <c r="I32" s="891"/>
    </row>
    <row r="33" spans="1:9" ht="16" thickBot="1">
      <c r="A33" s="375"/>
      <c r="B33" s="375"/>
      <c r="C33" s="789"/>
      <c r="D33" s="793"/>
      <c r="E33" s="813"/>
      <c r="F33" s="790"/>
      <c r="G33" s="790"/>
      <c r="H33" s="375"/>
      <c r="I33" s="812"/>
    </row>
    <row r="34" spans="1:9" ht="18">
      <c r="A34" s="884" t="s">
        <v>528</v>
      </c>
      <c r="B34" s="885"/>
      <c r="C34" s="885"/>
      <c r="D34" s="885"/>
      <c r="E34" s="885"/>
      <c r="F34" s="882" t="str">
        <f>+F$4</f>
        <v>2021 Budget Proposed</v>
      </c>
      <c r="G34" s="882" t="str">
        <f t="shared" ref="G34:H34" si="1">+G$4</f>
        <v>2021 Budget Current</v>
      </c>
      <c r="H34" s="882" t="str">
        <f t="shared" si="1"/>
        <v>2020 Budget</v>
      </c>
      <c r="I34" s="796"/>
    </row>
    <row r="35" spans="1:9" ht="34" customHeight="1" thickBot="1">
      <c r="A35" s="886"/>
      <c r="B35" s="887"/>
      <c r="C35" s="887"/>
      <c r="D35" s="887"/>
      <c r="E35" s="887"/>
      <c r="F35" s="883"/>
      <c r="G35" s="883"/>
      <c r="H35" s="883"/>
      <c r="I35" s="801" t="str">
        <f>+I$5</f>
        <v>Notes / Rational for change</v>
      </c>
    </row>
    <row r="36" spans="1:9">
      <c r="A36" s="390" t="s">
        <v>597</v>
      </c>
      <c r="B36" s="377"/>
      <c r="C36" s="787"/>
      <c r="D36" s="377"/>
      <c r="E36" s="377"/>
      <c r="F36" s="819">
        <f>+G36</f>
        <v>14264</v>
      </c>
      <c r="G36" s="819">
        <f>3650+10614</f>
        <v>14264</v>
      </c>
      <c r="H36" s="819">
        <f>3501+12642+1</f>
        <v>16144</v>
      </c>
      <c r="I36" s="391"/>
    </row>
    <row r="37" spans="1:9">
      <c r="A37" s="820" t="s">
        <v>52</v>
      </c>
      <c r="B37" s="816"/>
      <c r="C37" s="817"/>
      <c r="D37" s="816"/>
      <c r="E37" s="816"/>
      <c r="F37" s="818">
        <f>+G37</f>
        <v>30259</v>
      </c>
      <c r="G37" s="818">
        <f>800+500+13800+3000+3375+1500+2759+1000+400+700+925+1500</f>
        <v>30259</v>
      </c>
      <c r="H37" s="818">
        <f>800+500+13800+3000+3375+1500+2759+1000+400+700+925+1500</f>
        <v>30259</v>
      </c>
      <c r="I37" s="821" t="s">
        <v>599</v>
      </c>
    </row>
    <row r="38" spans="1:9">
      <c r="A38" s="892" t="s">
        <v>598</v>
      </c>
      <c r="B38" s="893"/>
      <c r="C38" s="791"/>
      <c r="D38" s="792"/>
      <c r="E38" s="815"/>
      <c r="F38" s="825">
        <f>+G38</f>
        <v>188497</v>
      </c>
      <c r="G38" s="825">
        <f>102099+86398</f>
        <v>188497</v>
      </c>
      <c r="H38" s="825">
        <f>100670+48251+18950+8843</f>
        <v>176714</v>
      </c>
      <c r="I38" s="889" t="s">
        <v>600</v>
      </c>
    </row>
    <row r="39" spans="1:9">
      <c r="A39" s="808"/>
      <c r="B39" s="784"/>
      <c r="C39" s="789"/>
      <c r="D39" s="793"/>
      <c r="E39" s="813"/>
      <c r="F39" s="785">
        <f>+F38-$H38</f>
        <v>11783</v>
      </c>
      <c r="G39" s="786">
        <f>+G38-$H38</f>
        <v>11783</v>
      </c>
      <c r="H39" s="375"/>
      <c r="I39" s="890"/>
    </row>
    <row r="40" spans="1:9" ht="16" thickBot="1">
      <c r="A40" s="383"/>
      <c r="B40" s="384"/>
      <c r="C40" s="810"/>
      <c r="D40" s="822"/>
      <c r="E40" s="823"/>
      <c r="F40" s="811">
        <f>+F39/$H38</f>
        <v>6.667836164650226E-2</v>
      </c>
      <c r="G40" s="811">
        <f>+G39/$H38</f>
        <v>6.667836164650226E-2</v>
      </c>
      <c r="H40" s="384"/>
      <c r="I40" s="891"/>
    </row>
    <row r="41" spans="1:9" ht="16" thickBot="1"/>
    <row r="42" spans="1:9" ht="18">
      <c r="A42" s="884" t="s">
        <v>59</v>
      </c>
      <c r="B42" s="885"/>
      <c r="C42" s="885"/>
      <c r="D42" s="885"/>
      <c r="E42" s="885"/>
      <c r="F42" s="888">
        <f>+F6+F9+F12+F18+F21+F24+F27+F30+F36+F37+F38</f>
        <v>342612.4</v>
      </c>
      <c r="G42" s="888">
        <f>+G6+G9+G12+G18+G21+G24+G27+G30+G36+G37+G38</f>
        <v>342522.7</v>
      </c>
      <c r="H42" s="888">
        <f t="shared" ref="H42" si="2">+H6+H9+H12+H18+H21+H24+H27+H30+H36+H37+H38</f>
        <v>331619.40000000002</v>
      </c>
      <c r="I42" s="796"/>
    </row>
    <row r="43" spans="1:9" ht="18.5" thickBot="1">
      <c r="A43" s="886"/>
      <c r="B43" s="887"/>
      <c r="C43" s="887"/>
      <c r="D43" s="887"/>
      <c r="E43" s="887"/>
      <c r="F43" s="883"/>
      <c r="G43" s="883"/>
      <c r="H43" s="883"/>
      <c r="I43" s="801"/>
    </row>
    <row r="45" spans="1:9">
      <c r="F45" s="824"/>
      <c r="G45" s="779"/>
      <c r="H45" s="824"/>
    </row>
  </sheetData>
  <mergeCells count="33">
    <mergeCell ref="A1:I1"/>
    <mergeCell ref="A2:I2"/>
    <mergeCell ref="A4:D4"/>
    <mergeCell ref="G4:G5"/>
    <mergeCell ref="H4:H5"/>
    <mergeCell ref="F34:F35"/>
    <mergeCell ref="G34:G35"/>
    <mergeCell ref="G3:H3"/>
    <mergeCell ref="F4:F5"/>
    <mergeCell ref="F16:F17"/>
    <mergeCell ref="G16:G17"/>
    <mergeCell ref="H16:H17"/>
    <mergeCell ref="D6:E8"/>
    <mergeCell ref="D12:E14"/>
    <mergeCell ref="D17:E17"/>
    <mergeCell ref="I9:I11"/>
    <mergeCell ref="I6:I8"/>
    <mergeCell ref="I12:I14"/>
    <mergeCell ref="D9:E11"/>
    <mergeCell ref="A16:D16"/>
    <mergeCell ref="I38:I40"/>
    <mergeCell ref="A38:B38"/>
    <mergeCell ref="I18:I20"/>
    <mergeCell ref="I21:I23"/>
    <mergeCell ref="I24:I26"/>
    <mergeCell ref="I30:I32"/>
    <mergeCell ref="I27:I29"/>
    <mergeCell ref="H34:H35"/>
    <mergeCell ref="A34:E35"/>
    <mergeCell ref="A42:E43"/>
    <mergeCell ref="F42:F43"/>
    <mergeCell ref="G42:G43"/>
    <mergeCell ref="H42:H43"/>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2" customWidth="1"/>
    <col min="2" max="2" width="15.7265625" style="692" customWidth="1"/>
    <col min="3" max="3" width="100.453125" style="692" customWidth="1"/>
    <col min="4" max="16384" width="8.7265625" style="692"/>
  </cols>
  <sheetData>
    <row r="1" spans="1:3" ht="26">
      <c r="A1" s="903" t="s">
        <v>505</v>
      </c>
      <c r="B1" s="903"/>
      <c r="C1" s="903"/>
    </row>
    <row r="3" spans="1:3" ht="42" customHeight="1">
      <c r="A3" s="693" t="s">
        <v>506</v>
      </c>
      <c r="B3" s="695">
        <v>3000</v>
      </c>
      <c r="C3" s="694" t="s">
        <v>523</v>
      </c>
    </row>
    <row r="4" spans="1:3" ht="42" customHeight="1">
      <c r="A4" s="693" t="s">
        <v>507</v>
      </c>
      <c r="B4" s="695">
        <v>4000</v>
      </c>
      <c r="C4" s="694" t="s">
        <v>509</v>
      </c>
    </row>
    <row r="5" spans="1:3" ht="42" customHeight="1">
      <c r="A5" s="693" t="s">
        <v>508</v>
      </c>
      <c r="B5" s="695">
        <v>2759</v>
      </c>
      <c r="C5" s="694" t="s">
        <v>513</v>
      </c>
    </row>
    <row r="6" spans="1:3" ht="42" customHeight="1">
      <c r="A6" s="693" t="s">
        <v>511</v>
      </c>
      <c r="B6" s="695">
        <v>8000</v>
      </c>
      <c r="C6" s="694" t="s">
        <v>510</v>
      </c>
    </row>
    <row r="7" spans="1:3" ht="42" customHeight="1">
      <c r="A7" s="693" t="s">
        <v>512</v>
      </c>
      <c r="B7" s="695">
        <v>8185</v>
      </c>
      <c r="C7" s="694" t="s">
        <v>514</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sqref="A1:G1"/>
    </sheetView>
  </sheetViews>
  <sheetFormatPr defaultRowHeight="14.5"/>
  <cols>
    <col min="2" max="2" width="31.36328125" customWidth="1"/>
    <col min="6" max="6" width="10.453125" customWidth="1"/>
  </cols>
  <sheetData>
    <row r="1" spans="1:9" ht="23.5">
      <c r="A1" s="906" t="s">
        <v>87</v>
      </c>
      <c r="B1" s="906"/>
      <c r="C1" s="906"/>
      <c r="D1" s="906"/>
      <c r="E1" s="906"/>
      <c r="F1" s="906"/>
      <c r="G1" s="906"/>
    </row>
    <row r="4" spans="1:9" ht="29.5" customHeight="1">
      <c r="C4" s="865" t="str">
        <f>Bud_Yr&amp;" Budget"</f>
        <v>2021 Budget</v>
      </c>
      <c r="D4" s="866" t="s">
        <v>552</v>
      </c>
      <c r="E4" s="866" t="str">
        <f>Bud_Yr-1&amp;" Budget"</f>
        <v>2020 Budget</v>
      </c>
      <c r="F4" s="859" t="str">
        <f>Bud_Yr&amp;" Budget vs             "&amp;Bud_Yr-1&amp;" Budget"</f>
        <v>2021 Budget vs             2020 Budget</v>
      </c>
      <c r="G4" s="860"/>
    </row>
    <row r="5" spans="1:9">
      <c r="C5" s="904"/>
      <c r="D5" s="853"/>
      <c r="E5" s="905"/>
      <c r="F5" s="586" t="s">
        <v>113</v>
      </c>
      <c r="G5" s="587" t="s">
        <v>114</v>
      </c>
    </row>
    <row r="6" spans="1:9">
      <c r="B6" s="588" t="s">
        <v>417</v>
      </c>
      <c r="C6" s="748">
        <f>+'New Year-Full Year'!P28</f>
        <v>28790</v>
      </c>
      <c r="D6" s="748">
        <f>+E6+1500</f>
        <v>30290</v>
      </c>
      <c r="E6" s="748">
        <f>+'New Year-Full Year'!Q28</f>
        <v>28790</v>
      </c>
      <c r="F6" s="589">
        <f t="shared" ref="F6" si="0">+C6-E6</f>
        <v>0</v>
      </c>
      <c r="G6" s="590">
        <f t="shared" ref="G6" si="1">IF(E6=0,"NA",(+C6-E6)/E6)</f>
        <v>0</v>
      </c>
      <c r="I6" s="624"/>
    </row>
    <row r="7" spans="1:9">
      <c r="B7" s="591" t="s">
        <v>418</v>
      </c>
      <c r="C7" s="282">
        <f>+'New Year-Full Year'!P29</f>
        <v>3000</v>
      </c>
      <c r="D7" s="282">
        <f>+E7</f>
        <v>6000</v>
      </c>
      <c r="E7" s="282">
        <f>+'New Year-Full Year'!Q29</f>
        <v>6000</v>
      </c>
      <c r="F7" s="246">
        <f t="shared" ref="F7" si="2">+C7-E7</f>
        <v>-3000</v>
      </c>
      <c r="G7" s="592">
        <f t="shared" ref="G7" si="3">IF(E7=0,"NA",(+C7-E7)/E7)</f>
        <v>-0.5</v>
      </c>
    </row>
    <row r="8" spans="1:9">
      <c r="B8" s="591" t="s">
        <v>419</v>
      </c>
      <c r="C8" s="282">
        <f>+'New Year-Full Year'!P30</f>
        <v>1000</v>
      </c>
      <c r="D8" s="282">
        <f>+E8+1000</f>
        <v>1500</v>
      </c>
      <c r="E8" s="282">
        <f>+'New Year-Full Year'!Q30</f>
        <v>500</v>
      </c>
      <c r="F8" s="246">
        <f t="shared" ref="F8:F14" si="4">+C8-E8</f>
        <v>500</v>
      </c>
      <c r="G8" s="592">
        <f t="shared" ref="G8:G14" si="5">IF(E8=0,"NA",(+C8-E8)/E8)</f>
        <v>1</v>
      </c>
    </row>
    <row r="9" spans="1:9">
      <c r="B9" s="591" t="s">
        <v>427</v>
      </c>
      <c r="C9" s="282">
        <f>+'New Year-Full Year'!P31</f>
        <v>2000</v>
      </c>
      <c r="D9" s="282">
        <f>+E9+1000</f>
        <v>2000</v>
      </c>
      <c r="E9" s="282">
        <f>+'New Year-Full Year'!Q31</f>
        <v>1000</v>
      </c>
      <c r="F9" s="246">
        <f t="shared" si="4"/>
        <v>1000</v>
      </c>
      <c r="G9" s="592">
        <f t="shared" si="5"/>
        <v>1</v>
      </c>
    </row>
    <row r="10" spans="1:9">
      <c r="B10" s="591" t="s">
        <v>420</v>
      </c>
      <c r="C10" s="282">
        <f>+'New Year-Full Year'!P32</f>
        <v>750</v>
      </c>
      <c r="D10" s="282">
        <f>+E10</f>
        <v>750</v>
      </c>
      <c r="E10" s="282">
        <f>+'New Year-Full Year'!Q32</f>
        <v>750</v>
      </c>
      <c r="F10" s="246">
        <f t="shared" si="4"/>
        <v>0</v>
      </c>
      <c r="G10" s="592">
        <f t="shared" si="5"/>
        <v>0</v>
      </c>
    </row>
    <row r="11" spans="1:9">
      <c r="B11" s="591" t="s">
        <v>421</v>
      </c>
      <c r="C11" s="282">
        <f>+'New Year-Full Year'!P33</f>
        <v>1000</v>
      </c>
      <c r="D11" s="282">
        <f>+E11+1000</f>
        <v>1500</v>
      </c>
      <c r="E11" s="282">
        <f>+'New Year-Full Year'!Q33</f>
        <v>500</v>
      </c>
      <c r="F11" s="246">
        <f t="shared" si="4"/>
        <v>500</v>
      </c>
      <c r="G11" s="592">
        <f t="shared" si="5"/>
        <v>1</v>
      </c>
    </row>
    <row r="12" spans="1:9">
      <c r="B12" s="591" t="s">
        <v>422</v>
      </c>
      <c r="C12" s="282">
        <f>+'New Year-Full Year'!P34</f>
        <v>1500</v>
      </c>
      <c r="D12" s="282">
        <f>+E12+500</f>
        <v>1500</v>
      </c>
      <c r="E12" s="282">
        <f>+'New Year-Full Year'!Q34</f>
        <v>1000</v>
      </c>
      <c r="F12" s="246">
        <f t="shared" si="4"/>
        <v>500</v>
      </c>
      <c r="G12" s="592">
        <f t="shared" si="5"/>
        <v>0.5</v>
      </c>
    </row>
    <row r="13" spans="1:9">
      <c r="B13" s="591" t="s">
        <v>423</v>
      </c>
      <c r="C13" s="282">
        <f>+'New Year-Full Year'!P35</f>
        <v>1500</v>
      </c>
      <c r="D13" s="282">
        <f>+E13+1000</f>
        <v>2000</v>
      </c>
      <c r="E13" s="282">
        <f>+'New Year-Full Year'!Q35</f>
        <v>1000</v>
      </c>
      <c r="F13" s="246">
        <f t="shared" si="4"/>
        <v>500</v>
      </c>
      <c r="G13" s="592">
        <f t="shared" si="5"/>
        <v>0.5</v>
      </c>
    </row>
    <row r="14" spans="1:9">
      <c r="B14" s="591" t="s">
        <v>424</v>
      </c>
      <c r="C14" s="282">
        <f>+'New Year-Full Year'!P36</f>
        <v>500</v>
      </c>
      <c r="D14" s="282">
        <f>+E14+500</f>
        <v>1000</v>
      </c>
      <c r="E14" s="282">
        <f>+'New Year-Full Year'!Q36</f>
        <v>500</v>
      </c>
      <c r="F14" s="246">
        <f t="shared" si="4"/>
        <v>0</v>
      </c>
      <c r="G14" s="592">
        <f t="shared" si="5"/>
        <v>0</v>
      </c>
    </row>
    <row r="15" spans="1:9">
      <c r="B15" s="593" t="s">
        <v>170</v>
      </c>
      <c r="C15" s="751">
        <f>+SUM(C6:C14)</f>
        <v>40040</v>
      </c>
      <c r="D15" s="751">
        <f>+SUM(D6:D14)</f>
        <v>46540</v>
      </c>
      <c r="E15" s="751">
        <f>+SUM(E6:E14)</f>
        <v>40040</v>
      </c>
      <c r="F15" s="594">
        <f>+SUM(F6:F14)</f>
        <v>0</v>
      </c>
      <c r="G15" s="595"/>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71"/>
  <sheetViews>
    <sheetView showGridLines="0" workbookViewId="0">
      <selection activeCell="A4" sqref="A4"/>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912" t="s">
        <v>467</v>
      </c>
      <c r="M1" s="913"/>
      <c r="N1" s="913"/>
      <c r="O1" s="913"/>
      <c r="P1" s="914"/>
    </row>
    <row r="2" spans="1:18" ht="43.5">
      <c r="B2" s="908">
        <v>2018</v>
      </c>
      <c r="C2" s="909"/>
      <c r="D2" s="909"/>
      <c r="E2" s="909"/>
      <c r="F2" s="910"/>
      <c r="G2" s="437" t="s">
        <v>199</v>
      </c>
      <c r="H2" s="145" t="s">
        <v>221</v>
      </c>
      <c r="I2" s="437" t="s">
        <v>331</v>
      </c>
      <c r="K2" s="233" t="s">
        <v>475</v>
      </c>
      <c r="L2" s="630" t="s">
        <v>468</v>
      </c>
      <c r="M2" s="630" t="s">
        <v>469</v>
      </c>
      <c r="N2" s="631" t="s">
        <v>470</v>
      </c>
      <c r="O2" s="631" t="s">
        <v>471</v>
      </c>
      <c r="P2" s="630" t="s">
        <v>472</v>
      </c>
    </row>
    <row r="3" spans="1:18">
      <c r="A3" s="177"/>
      <c r="B3" s="178" t="s">
        <v>197</v>
      </c>
      <c r="C3" s="179" t="s">
        <v>169</v>
      </c>
      <c r="D3" s="179" t="s">
        <v>210</v>
      </c>
      <c r="E3" s="179" t="s">
        <v>219</v>
      </c>
      <c r="F3" s="180" t="s">
        <v>204</v>
      </c>
      <c r="G3" s="181"/>
      <c r="H3" s="181"/>
      <c r="I3" s="181"/>
      <c r="K3" s="146"/>
      <c r="L3" s="632"/>
      <c r="M3" s="632"/>
      <c r="N3" s="632"/>
      <c r="O3" s="632"/>
      <c r="P3" s="632"/>
    </row>
    <row r="4" spans="1:18">
      <c r="A4" s="182" t="s">
        <v>42</v>
      </c>
      <c r="B4" s="183">
        <v>52894</v>
      </c>
      <c r="C4" s="128">
        <f>+B7-C6</f>
        <v>46762</v>
      </c>
      <c r="D4" s="128">
        <f>+B7-D6</f>
        <v>46762</v>
      </c>
      <c r="E4" s="128">
        <f>+B4</f>
        <v>52894</v>
      </c>
      <c r="F4" s="138"/>
      <c r="G4" s="184">
        <f>+B7-G6</f>
        <v>46322</v>
      </c>
      <c r="H4" s="184"/>
      <c r="I4" s="184">
        <f>71540-22000</f>
        <v>49540</v>
      </c>
      <c r="K4" s="147">
        <f>+P4</f>
        <v>51938.04</v>
      </c>
      <c r="L4" s="633">
        <f>+L7-L6</f>
        <v>53618</v>
      </c>
      <c r="M4" s="633">
        <f>+I4*(1+0.02)</f>
        <v>50530.8</v>
      </c>
      <c r="N4" s="633">
        <f>+I4*(1+0.01)</f>
        <v>50035.4</v>
      </c>
      <c r="O4" s="633">
        <f>+I4</f>
        <v>49540</v>
      </c>
      <c r="P4" s="633">
        <f>+I4*(1+0.026)+1110</f>
        <v>51938.04</v>
      </c>
    </row>
    <row r="5" spans="1:18">
      <c r="A5" s="182"/>
      <c r="B5" s="185">
        <v>0.3</v>
      </c>
      <c r="C5" s="130"/>
      <c r="D5" s="130"/>
      <c r="E5" s="129">
        <v>0.3</v>
      </c>
      <c r="F5" s="186"/>
      <c r="G5" s="187"/>
      <c r="H5" s="187"/>
      <c r="I5" s="187"/>
      <c r="K5" s="148"/>
      <c r="L5" s="634"/>
      <c r="M5" s="634"/>
      <c r="N5" s="634"/>
      <c r="O5" s="634"/>
      <c r="P5" s="634"/>
    </row>
    <row r="6" spans="1:18" ht="15" thickBot="1">
      <c r="A6" s="182" t="s">
        <v>168</v>
      </c>
      <c r="B6" s="188">
        <f>ROUND(+B4*B5,0)</f>
        <v>15868</v>
      </c>
      <c r="C6" s="132">
        <v>22000</v>
      </c>
      <c r="D6" s="132">
        <f>+C6</f>
        <v>22000</v>
      </c>
      <c r="E6" s="131">
        <f>ROUND(+E4*E5,0)</f>
        <v>15868</v>
      </c>
      <c r="F6" s="135"/>
      <c r="G6" s="189">
        <v>22440</v>
      </c>
      <c r="H6" s="189"/>
      <c r="I6" s="189">
        <v>22000</v>
      </c>
      <c r="K6" s="699">
        <f>+P6</f>
        <v>22572</v>
      </c>
      <c r="L6" s="635">
        <v>22000</v>
      </c>
      <c r="M6" s="636">
        <f>+I6*(1+0.02)</f>
        <v>22440</v>
      </c>
      <c r="N6" s="636">
        <f>+I6*(1+0.01)</f>
        <v>22220</v>
      </c>
      <c r="O6" s="636">
        <f>+I6</f>
        <v>22000</v>
      </c>
      <c r="P6" s="636">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2">
        <v>75618</v>
      </c>
      <c r="M7" s="637">
        <f>+M4+M6</f>
        <v>72970.8</v>
      </c>
      <c r="N7" s="637">
        <f>+N4+N6</f>
        <v>72255.399999999994</v>
      </c>
      <c r="O7" s="637">
        <f>+O4+O6</f>
        <v>71540</v>
      </c>
      <c r="P7" s="637">
        <f>+P4+P6</f>
        <v>74510.040000000008</v>
      </c>
      <c r="Q7" s="151"/>
      <c r="R7" s="151"/>
    </row>
    <row r="8" spans="1:18">
      <c r="A8" s="194"/>
      <c r="B8" s="194"/>
      <c r="C8" s="195"/>
      <c r="D8" s="195"/>
      <c r="E8" s="195"/>
      <c r="F8" s="196"/>
      <c r="G8" s="187"/>
      <c r="H8" s="187"/>
      <c r="I8" s="187"/>
      <c r="K8" s="148"/>
      <c r="L8" s="634"/>
      <c r="M8" s="634"/>
      <c r="N8" s="634"/>
      <c r="O8" s="634"/>
      <c r="P8" s="634"/>
    </row>
    <row r="9" spans="1:18">
      <c r="A9" s="182" t="s">
        <v>184</v>
      </c>
      <c r="B9" s="194"/>
      <c r="C9" s="133">
        <f>(23/24)</f>
        <v>0.95833333333333337</v>
      </c>
      <c r="D9" s="133">
        <f>(23/24)</f>
        <v>0.95833333333333337</v>
      </c>
      <c r="E9" s="133">
        <v>1</v>
      </c>
      <c r="F9" s="134">
        <v>1</v>
      </c>
      <c r="G9" s="197">
        <v>1</v>
      </c>
      <c r="H9" s="197"/>
      <c r="I9" s="197">
        <v>1</v>
      </c>
      <c r="K9" s="141">
        <v>1</v>
      </c>
      <c r="L9" s="638">
        <v>1</v>
      </c>
      <c r="M9" s="638">
        <v>1</v>
      </c>
      <c r="N9" s="638">
        <v>1</v>
      </c>
      <c r="O9" s="638">
        <v>1</v>
      </c>
      <c r="P9" s="638">
        <v>1</v>
      </c>
    </row>
    <row r="10" spans="1:18">
      <c r="A10" s="194"/>
      <c r="B10" s="194"/>
      <c r="C10" s="195"/>
      <c r="D10" s="195"/>
      <c r="E10" s="195"/>
      <c r="F10" s="196"/>
      <c r="G10" s="187"/>
      <c r="H10" s="187"/>
      <c r="I10" s="187"/>
      <c r="K10" s="148"/>
      <c r="L10" s="634"/>
      <c r="M10" s="634"/>
      <c r="N10" s="634"/>
      <c r="O10" s="634"/>
      <c r="P10" s="634"/>
    </row>
    <row r="11" spans="1:18">
      <c r="A11" s="182" t="s">
        <v>200</v>
      </c>
      <c r="B11" s="194"/>
      <c r="C11" s="198">
        <v>0</v>
      </c>
      <c r="D11" s="198">
        <v>0</v>
      </c>
      <c r="E11" s="198">
        <v>0</v>
      </c>
      <c r="F11" s="199">
        <v>0</v>
      </c>
      <c r="G11" s="448">
        <v>0.02</v>
      </c>
      <c r="H11" s="200"/>
      <c r="I11" s="674">
        <f>+I12/G12-1</f>
        <v>2.0003707030525897E-2</v>
      </c>
      <c r="K11" s="484">
        <f>+K12/I12-1</f>
        <v>4.1515236231478791E-2</v>
      </c>
      <c r="L11" s="639">
        <f>+L12/O12-1</f>
        <v>5.7003075202683773E-2</v>
      </c>
      <c r="M11" s="639">
        <f>+M12/O12-1</f>
        <v>2.0002795638803361E-2</v>
      </c>
      <c r="N11" s="639">
        <f>+N12/O12-1</f>
        <v>9.9944087223931E-3</v>
      </c>
      <c r="O11" s="640">
        <v>0</v>
      </c>
      <c r="P11" s="639">
        <f>+P12/O12-1</f>
        <v>4.1515236231478791E-2</v>
      </c>
    </row>
    <row r="12" spans="1:18">
      <c r="A12" s="201" t="s">
        <v>198</v>
      </c>
      <c r="B12" s="202"/>
      <c r="C12" s="203">
        <f>+C7*C9</f>
        <v>65896.916666666672</v>
      </c>
      <c r="D12" s="203">
        <f>+D7*D9</f>
        <v>65896.916666666672</v>
      </c>
      <c r="E12" s="203">
        <f>+E7*E9</f>
        <v>68762</v>
      </c>
      <c r="F12" s="204">
        <f>+C7*F9</f>
        <v>68762</v>
      </c>
      <c r="G12" s="438">
        <f>ROUND(+G7*(1+G11),0)</f>
        <v>70137</v>
      </c>
      <c r="H12" s="205"/>
      <c r="I12" s="438">
        <f>ROUND(+I7*I9,0)</f>
        <v>71540</v>
      </c>
      <c r="K12" s="153">
        <f>ROUND(+K7*K9,0)</f>
        <v>74510</v>
      </c>
      <c r="L12" s="641">
        <f t="shared" ref="L12:P12" si="0">ROUND(+L7*L9,0)</f>
        <v>75618</v>
      </c>
      <c r="M12" s="641">
        <f t="shared" si="0"/>
        <v>72971</v>
      </c>
      <c r="N12" s="641">
        <f t="shared" si="0"/>
        <v>72255</v>
      </c>
      <c r="O12" s="641">
        <f>ROUND(+O7*O9,0)</f>
        <v>71540</v>
      </c>
      <c r="P12" s="641">
        <f t="shared" si="0"/>
        <v>74510</v>
      </c>
    </row>
    <row r="13" spans="1:18">
      <c r="A13" s="194"/>
      <c r="B13" s="194"/>
      <c r="C13" s="195"/>
      <c r="D13" s="195"/>
      <c r="E13" s="195"/>
      <c r="F13" s="196"/>
      <c r="G13" s="187"/>
      <c r="H13" s="187"/>
      <c r="I13" s="187"/>
      <c r="K13" s="148"/>
      <c r="L13" s="634"/>
      <c r="M13" s="634"/>
      <c r="N13" s="634"/>
      <c r="O13" s="634"/>
      <c r="P13" s="634"/>
    </row>
    <row r="14" spans="1:18">
      <c r="A14" s="907" t="s">
        <v>391</v>
      </c>
      <c r="B14" s="194"/>
      <c r="C14" s="195"/>
      <c r="D14" s="195"/>
      <c r="E14" s="195"/>
      <c r="F14" s="196"/>
      <c r="G14" s="187"/>
      <c r="H14" s="187"/>
      <c r="I14" s="187"/>
      <c r="K14" s="148"/>
      <c r="L14" s="634"/>
      <c r="M14" s="634"/>
      <c r="N14" s="634"/>
      <c r="O14" s="634"/>
      <c r="P14" s="634"/>
    </row>
    <row r="15" spans="1:18">
      <c r="A15" s="907"/>
      <c r="B15" s="194"/>
      <c r="C15" s="128">
        <f>+C34</f>
        <v>0</v>
      </c>
      <c r="D15" s="128">
        <f>+D34</f>
        <v>0</v>
      </c>
      <c r="E15" s="128">
        <f>+E34</f>
        <v>8015</v>
      </c>
      <c r="F15" s="138">
        <f>+F34</f>
        <v>0</v>
      </c>
      <c r="G15" s="206">
        <f>+G36</f>
        <v>2600</v>
      </c>
      <c r="H15" s="206"/>
      <c r="I15" s="206">
        <f>+I36</f>
        <v>3467</v>
      </c>
      <c r="K15" s="143">
        <f>+K36</f>
        <v>0</v>
      </c>
      <c r="L15" s="642">
        <f t="shared" ref="L15:P15" si="1">+L36</f>
        <v>3467</v>
      </c>
      <c r="M15" s="642">
        <f t="shared" si="1"/>
        <v>3467</v>
      </c>
      <c r="N15" s="642">
        <f t="shared" si="1"/>
        <v>3467</v>
      </c>
      <c r="O15" s="642">
        <f>+O36</f>
        <v>3467</v>
      </c>
      <c r="P15" s="642">
        <f t="shared" si="1"/>
        <v>3467</v>
      </c>
    </row>
    <row r="16" spans="1:18">
      <c r="A16" s="907"/>
      <c r="B16" s="194"/>
      <c r="C16" s="195"/>
      <c r="D16" s="195"/>
      <c r="E16" s="195"/>
      <c r="F16" s="196"/>
      <c r="G16" s="187"/>
      <c r="H16" s="187"/>
      <c r="I16" s="187"/>
      <c r="K16" s="148"/>
      <c r="L16" s="634"/>
      <c r="M16" s="634"/>
      <c r="N16" s="634"/>
      <c r="O16" s="634"/>
      <c r="P16" s="634"/>
    </row>
    <row r="17" spans="1:16">
      <c r="A17" s="207"/>
      <c r="B17" s="194"/>
      <c r="C17" s="195"/>
      <c r="D17" s="195"/>
      <c r="E17" s="195"/>
      <c r="F17" s="196"/>
      <c r="G17" s="187"/>
      <c r="H17" s="187"/>
      <c r="I17" s="187"/>
      <c r="K17" s="148"/>
      <c r="L17" s="634"/>
      <c r="M17" s="634"/>
      <c r="N17" s="634"/>
      <c r="O17" s="634"/>
      <c r="P17" s="634"/>
    </row>
    <row r="18" spans="1:16">
      <c r="A18" s="201" t="s">
        <v>198</v>
      </c>
      <c r="B18" s="202"/>
      <c r="C18" s="203">
        <f>+C12+C15</f>
        <v>65896.916666666672</v>
      </c>
      <c r="D18" s="203">
        <f>+D12+D15</f>
        <v>65896.916666666672</v>
      </c>
      <c r="E18" s="203">
        <f>+E12+E15</f>
        <v>76777</v>
      </c>
      <c r="F18" s="204">
        <f>+F12+F15</f>
        <v>68762</v>
      </c>
      <c r="G18" s="438">
        <f>+G12+G15</f>
        <v>72737</v>
      </c>
      <c r="H18" s="205">
        <f>50297+22440</f>
        <v>72737</v>
      </c>
      <c r="I18" s="438">
        <f>+I12+I15</f>
        <v>75007</v>
      </c>
      <c r="K18" s="153">
        <f>+K12+K15</f>
        <v>74510</v>
      </c>
      <c r="L18" s="641">
        <f t="shared" ref="L18:P18" si="2">+L12+L15</f>
        <v>79085</v>
      </c>
      <c r="M18" s="641">
        <f t="shared" si="2"/>
        <v>76438</v>
      </c>
      <c r="N18" s="641">
        <f t="shared" si="2"/>
        <v>75722</v>
      </c>
      <c r="O18" s="641">
        <f>+O12+O15</f>
        <v>75007</v>
      </c>
      <c r="P18" s="641">
        <f t="shared" si="2"/>
        <v>77977</v>
      </c>
    </row>
    <row r="19" spans="1:16">
      <c r="A19" s="194"/>
      <c r="B19" s="194"/>
      <c r="C19" s="195"/>
      <c r="D19" s="195"/>
      <c r="E19" s="195"/>
      <c r="F19" s="196"/>
      <c r="G19" s="187"/>
      <c r="H19" s="187"/>
      <c r="I19" s="187"/>
      <c r="K19" s="148"/>
      <c r="L19" s="634"/>
      <c r="M19" s="634"/>
      <c r="N19" s="634"/>
      <c r="O19" s="634"/>
      <c r="P19" s="634"/>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3">
        <v>7.6499999999999999E-2</v>
      </c>
      <c r="M20" s="643">
        <v>7.6499999999999999E-2</v>
      </c>
      <c r="N20" s="643">
        <v>7.6499999999999999E-2</v>
      </c>
      <c r="O20" s="643">
        <v>7.6499999999999999E-2</v>
      </c>
      <c r="P20" s="643">
        <v>7.6499999999999999E-2</v>
      </c>
    </row>
    <row r="21" spans="1:16">
      <c r="A21" s="194" t="s">
        <v>360</v>
      </c>
      <c r="B21" s="194"/>
      <c r="C21" s="195"/>
      <c r="D21" s="195"/>
      <c r="E21" s="195"/>
      <c r="F21" s="196"/>
      <c r="G21" s="187"/>
      <c r="H21" s="187"/>
      <c r="I21" s="187"/>
      <c r="K21" s="148"/>
      <c r="L21" s="634"/>
      <c r="M21" s="634"/>
      <c r="N21" s="634"/>
      <c r="O21" s="634"/>
      <c r="P21" s="634"/>
    </row>
    <row r="22" spans="1:16">
      <c r="A22" s="194"/>
      <c r="B22" s="194"/>
      <c r="C22" s="195"/>
      <c r="D22" s="195"/>
      <c r="E22" s="195"/>
      <c r="F22" s="196"/>
      <c r="G22" s="187"/>
      <c r="H22" s="187"/>
      <c r="I22" s="187"/>
      <c r="K22" s="148"/>
      <c r="L22" s="634"/>
      <c r="M22" s="634"/>
      <c r="N22" s="634"/>
      <c r="O22" s="634"/>
      <c r="P22" s="634"/>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2">
        <f t="shared" ref="L23:P23" si="4">ROUND(+L18*L20,0)</f>
        <v>6050</v>
      </c>
      <c r="M23" s="642">
        <f t="shared" si="4"/>
        <v>5848</v>
      </c>
      <c r="N23" s="642">
        <f t="shared" si="4"/>
        <v>5793</v>
      </c>
      <c r="O23" s="642">
        <f>ROUND(+O18*O20,0)</f>
        <v>5738</v>
      </c>
      <c r="P23" s="642">
        <f t="shared" si="4"/>
        <v>5965</v>
      </c>
    </row>
    <row r="24" spans="1:16">
      <c r="A24" s="194"/>
      <c r="B24" s="194"/>
      <c r="C24" s="195"/>
      <c r="D24" s="195"/>
      <c r="E24" s="195"/>
      <c r="F24" s="196"/>
      <c r="G24" s="187"/>
      <c r="H24" s="187"/>
      <c r="I24" s="187"/>
      <c r="K24" s="148"/>
      <c r="L24" s="634"/>
      <c r="M24" s="634"/>
      <c r="N24" s="634"/>
      <c r="O24" s="634"/>
      <c r="P24" s="634"/>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4">
        <f t="shared" si="6"/>
        <v>85135</v>
      </c>
      <c r="M25" s="644">
        <f t="shared" si="6"/>
        <v>82286</v>
      </c>
      <c r="N25" s="644">
        <f t="shared" si="6"/>
        <v>81515</v>
      </c>
      <c r="O25" s="644">
        <f t="shared" ref="O25" si="8">+O18+O23</f>
        <v>80745</v>
      </c>
      <c r="P25" s="644">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2"/>
      <c r="M27" s="645"/>
      <c r="N27" s="645"/>
      <c r="O27" s="645"/>
      <c r="P27" s="645"/>
    </row>
    <row r="28" spans="1:16">
      <c r="A28" s="194" t="s">
        <v>202</v>
      </c>
      <c r="B28" s="194"/>
      <c r="C28" s="128">
        <f>6011.15*C9</f>
        <v>5760.6854166666662</v>
      </c>
      <c r="D28" s="128"/>
      <c r="E28" s="128">
        <f>6011.15*E9</f>
        <v>6011.15</v>
      </c>
      <c r="F28" s="138">
        <f>6011.15</f>
        <v>6011.15</v>
      </c>
      <c r="G28" s="444">
        <v>4973</v>
      </c>
      <c r="H28" s="135"/>
      <c r="I28" s="444">
        <v>5121</v>
      </c>
      <c r="J28" s="608"/>
      <c r="K28" s="681">
        <v>5121</v>
      </c>
      <c r="L28" s="646">
        <v>5121</v>
      </c>
      <c r="M28" s="647">
        <v>5121</v>
      </c>
      <c r="N28" s="647">
        <v>5121</v>
      </c>
      <c r="O28" s="647">
        <v>5121</v>
      </c>
      <c r="P28" s="647">
        <v>5121</v>
      </c>
    </row>
    <row r="29" spans="1:16">
      <c r="A29" s="194" t="s">
        <v>229</v>
      </c>
      <c r="B29" s="194"/>
      <c r="C29" s="127">
        <v>0</v>
      </c>
      <c r="D29" s="127">
        <v>0</v>
      </c>
      <c r="E29" s="127">
        <v>0</v>
      </c>
      <c r="F29" s="135">
        <v>0</v>
      </c>
      <c r="G29" s="444">
        <v>2600</v>
      </c>
      <c r="H29" s="135"/>
      <c r="I29" s="444">
        <v>2600</v>
      </c>
      <c r="J29" s="151"/>
      <c r="K29" s="681">
        <v>2600</v>
      </c>
      <c r="L29" s="646">
        <v>2600</v>
      </c>
      <c r="M29" s="647">
        <v>2600</v>
      </c>
      <c r="N29" s="647">
        <v>2600</v>
      </c>
      <c r="O29" s="647">
        <v>2600</v>
      </c>
      <c r="P29" s="647">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911" t="s">
        <v>387</v>
      </c>
      <c r="K30" s="143">
        <f>+K28+K29</f>
        <v>7721</v>
      </c>
      <c r="L30" s="642">
        <f t="shared" ref="L30:P30" si="9">+L28+L29</f>
        <v>7721</v>
      </c>
      <c r="M30" s="648">
        <f t="shared" si="9"/>
        <v>7721</v>
      </c>
      <c r="N30" s="648">
        <f t="shared" si="9"/>
        <v>7721</v>
      </c>
      <c r="O30" s="648">
        <f>+O28+O29</f>
        <v>7721</v>
      </c>
      <c r="P30" s="648">
        <f t="shared" si="9"/>
        <v>7721</v>
      </c>
    </row>
    <row r="31" spans="1:16">
      <c r="A31" s="194" t="s">
        <v>203</v>
      </c>
      <c r="B31" s="194"/>
      <c r="C31" s="136">
        <v>0.25</v>
      </c>
      <c r="D31" s="136"/>
      <c r="E31" s="136">
        <v>0.25</v>
      </c>
      <c r="F31" s="137">
        <v>0.25</v>
      </c>
      <c r="G31" s="486">
        <v>0.25</v>
      </c>
      <c r="H31" s="137"/>
      <c r="I31" s="486"/>
      <c r="J31" s="911"/>
      <c r="K31" s="682"/>
      <c r="L31" s="649"/>
      <c r="M31" s="650"/>
      <c r="N31" s="650"/>
      <c r="O31" s="650"/>
      <c r="P31" s="650"/>
    </row>
    <row r="32" spans="1:16">
      <c r="A32" s="202" t="s">
        <v>205</v>
      </c>
      <c r="B32" s="202"/>
      <c r="C32" s="218">
        <f>+C30/(1-C31)</f>
        <v>7680.9138888888883</v>
      </c>
      <c r="D32" s="219">
        <v>8015</v>
      </c>
      <c r="E32" s="218">
        <f>ROUND(+E30/(1-E31),0)</f>
        <v>8015</v>
      </c>
      <c r="F32" s="220">
        <f>+F30/(1-F31)</f>
        <v>8014.8666666666659</v>
      </c>
      <c r="G32" s="445">
        <f>ROUND(+G30/(1-G31),0)</f>
        <v>10097</v>
      </c>
      <c r="H32" s="220"/>
      <c r="I32" s="445">
        <f>+I30</f>
        <v>7721</v>
      </c>
      <c r="J32" s="911"/>
      <c r="K32" s="683">
        <f>+K30</f>
        <v>7721</v>
      </c>
      <c r="L32" s="651">
        <f t="shared" ref="L32:P32" si="10">+L30</f>
        <v>7721</v>
      </c>
      <c r="M32" s="652">
        <f t="shared" si="10"/>
        <v>7721</v>
      </c>
      <c r="N32" s="652">
        <f t="shared" si="10"/>
        <v>7721</v>
      </c>
      <c r="O32" s="652">
        <f>+O30</f>
        <v>7721</v>
      </c>
      <c r="P32" s="652">
        <f t="shared" si="10"/>
        <v>7721</v>
      </c>
    </row>
    <row r="33" spans="1:16">
      <c r="A33" s="194"/>
      <c r="B33" s="194"/>
      <c r="C33" s="128"/>
      <c r="D33" s="128"/>
      <c r="E33" s="128"/>
      <c r="F33" s="196"/>
      <c r="G33" s="187"/>
      <c r="H33" s="196"/>
      <c r="I33" s="187"/>
      <c r="J33" s="911"/>
      <c r="K33" s="148"/>
      <c r="L33" s="634"/>
      <c r="M33" s="653"/>
      <c r="N33" s="653"/>
      <c r="O33" s="653"/>
      <c r="P33" s="653"/>
    </row>
    <row r="34" spans="1:16">
      <c r="A34" s="194" t="s">
        <v>388</v>
      </c>
      <c r="B34" s="194"/>
      <c r="C34" s="127">
        <v>0</v>
      </c>
      <c r="D34" s="127">
        <v>0</v>
      </c>
      <c r="E34" s="127">
        <v>8015</v>
      </c>
      <c r="F34" s="135">
        <v>0</v>
      </c>
      <c r="G34" s="444"/>
      <c r="H34" s="135"/>
      <c r="I34" s="444">
        <v>2600</v>
      </c>
      <c r="J34" s="911"/>
      <c r="K34" s="681">
        <v>0</v>
      </c>
      <c r="L34" s="646">
        <v>2600</v>
      </c>
      <c r="M34" s="647">
        <v>2600</v>
      </c>
      <c r="N34" s="647">
        <v>2600</v>
      </c>
      <c r="O34" s="647">
        <v>2600</v>
      </c>
      <c r="P34" s="647">
        <v>2600</v>
      </c>
    </row>
    <row r="35" spans="1:16">
      <c r="A35" s="194" t="s">
        <v>203</v>
      </c>
      <c r="B35" s="194"/>
      <c r="C35" s="136">
        <v>0.25</v>
      </c>
      <c r="D35" s="136"/>
      <c r="E35" s="136">
        <v>0.25</v>
      </c>
      <c r="F35" s="137">
        <v>0.25</v>
      </c>
      <c r="G35" s="208"/>
      <c r="H35" s="137"/>
      <c r="I35" s="486">
        <v>0.25</v>
      </c>
      <c r="J35" s="911"/>
      <c r="K35" s="682">
        <v>0.25</v>
      </c>
      <c r="L35" s="649">
        <v>0.25</v>
      </c>
      <c r="M35" s="650">
        <v>0.25</v>
      </c>
      <c r="N35" s="650">
        <v>0.25</v>
      </c>
      <c r="O35" s="650">
        <v>0.25</v>
      </c>
      <c r="P35" s="650">
        <v>0.25</v>
      </c>
    </row>
    <row r="36" spans="1:16">
      <c r="A36" s="202" t="s">
        <v>444</v>
      </c>
      <c r="B36" s="202"/>
      <c r="C36" s="488"/>
      <c r="D36" s="488"/>
      <c r="E36" s="488"/>
      <c r="F36" s="489"/>
      <c r="G36" s="490">
        <v>2600</v>
      </c>
      <c r="H36" s="489"/>
      <c r="I36" s="445">
        <f>ROUND(+I34/(1-I35),0)</f>
        <v>3467</v>
      </c>
      <c r="J36" s="487"/>
      <c r="K36" s="683">
        <f>ROUND(+K34/(1-K35),0)</f>
        <v>0</v>
      </c>
      <c r="L36" s="651">
        <f t="shared" ref="L36:P36" si="11">ROUND(+L34/(1-L35),0)</f>
        <v>3467</v>
      </c>
      <c r="M36" s="652">
        <f t="shared" si="11"/>
        <v>3467</v>
      </c>
      <c r="N36" s="652">
        <f t="shared" si="11"/>
        <v>3467</v>
      </c>
      <c r="O36" s="652">
        <f>ROUND(+O34/(1-O35),0)</f>
        <v>3467</v>
      </c>
      <c r="P36" s="652">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4">
        <f t="shared" ref="L37:P37" si="12">+L30-L34</f>
        <v>5121</v>
      </c>
      <c r="M37" s="654">
        <f t="shared" si="12"/>
        <v>5121</v>
      </c>
      <c r="N37" s="654">
        <f t="shared" si="12"/>
        <v>5121</v>
      </c>
      <c r="O37" s="654">
        <f>+O30-O34</f>
        <v>5121</v>
      </c>
      <c r="P37" s="654">
        <f t="shared" si="12"/>
        <v>5121</v>
      </c>
    </row>
    <row r="38" spans="1:16">
      <c r="A38" s="214"/>
      <c r="B38" s="214"/>
      <c r="C38" s="214"/>
      <c r="D38" s="214"/>
      <c r="E38" s="214"/>
      <c r="F38" s="214"/>
      <c r="G38" s="214"/>
      <c r="H38" s="214"/>
      <c r="I38" s="214"/>
      <c r="K38" s="214"/>
      <c r="L38" s="214"/>
      <c r="M38" s="214"/>
      <c r="N38" s="214"/>
      <c r="O38" s="214"/>
      <c r="P38" s="214"/>
    </row>
    <row r="39" spans="1:16">
      <c r="A39" s="215" t="s">
        <v>381</v>
      </c>
      <c r="B39" s="177"/>
      <c r="C39" s="221">
        <v>0.11</v>
      </c>
      <c r="D39" s="221">
        <v>0.11</v>
      </c>
      <c r="E39" s="221">
        <v>0.11</v>
      </c>
      <c r="F39" s="221">
        <v>0.11</v>
      </c>
      <c r="G39" s="446">
        <v>0.11</v>
      </c>
      <c r="H39" s="221"/>
      <c r="I39" s="446">
        <v>0.11</v>
      </c>
      <c r="K39" s="677">
        <v>0.11</v>
      </c>
      <c r="L39" s="660">
        <v>0.11</v>
      </c>
      <c r="M39" s="655">
        <v>0.11</v>
      </c>
      <c r="N39" s="655">
        <v>0.11</v>
      </c>
      <c r="O39" s="655">
        <v>0.11</v>
      </c>
      <c r="P39" s="655">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3">
        <f t="shared" ref="L40:P40" si="13">+L25</f>
        <v>85135</v>
      </c>
      <c r="M40" s="656">
        <f t="shared" si="13"/>
        <v>82286</v>
      </c>
      <c r="N40" s="656">
        <f t="shared" si="13"/>
        <v>81515</v>
      </c>
      <c r="O40" s="656">
        <f>+O25</f>
        <v>80745</v>
      </c>
      <c r="P40" s="656">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3">
        <f t="shared" ref="L41:P41" si="14">ROUND(+L40*L39,0)</f>
        <v>9365</v>
      </c>
      <c r="M41" s="656">
        <f t="shared" si="14"/>
        <v>9051</v>
      </c>
      <c r="N41" s="656">
        <f t="shared" si="14"/>
        <v>8967</v>
      </c>
      <c r="O41" s="656">
        <f>ROUND(+O40*O39,0)</f>
        <v>8882</v>
      </c>
      <c r="P41" s="656">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3">
        <f t="shared" ref="L42:P42" si="15">+L37</f>
        <v>5121</v>
      </c>
      <c r="M42" s="656">
        <f t="shared" si="15"/>
        <v>5121</v>
      </c>
      <c r="N42" s="656">
        <f t="shared" si="15"/>
        <v>5121</v>
      </c>
      <c r="O42" s="656">
        <f>+O37</f>
        <v>5121</v>
      </c>
      <c r="P42" s="656">
        <f t="shared" si="15"/>
        <v>5121</v>
      </c>
    </row>
    <row r="43" spans="1:16">
      <c r="A43" s="495" t="s">
        <v>390</v>
      </c>
      <c r="B43" s="495"/>
      <c r="C43" s="496">
        <f t="shared" ref="C43:H43" si="16">+C41+C42</f>
        <v>15484.097275972223</v>
      </c>
      <c r="D43" s="496">
        <f t="shared" si="16"/>
        <v>16767.279612083337</v>
      </c>
      <c r="E43" s="496">
        <f t="shared" si="16"/>
        <v>9091.5484550000001</v>
      </c>
      <c r="F43" s="496">
        <f t="shared" si="16"/>
        <v>16157.318896666668</v>
      </c>
      <c r="G43" s="497">
        <f t="shared" si="16"/>
        <v>16110</v>
      </c>
      <c r="H43" s="698">
        <f t="shared" si="16"/>
        <v>13703</v>
      </c>
      <c r="I43" s="497">
        <f t="shared" ref="I43:P43" si="17">+I41+I42</f>
        <v>14003</v>
      </c>
      <c r="K43" s="678">
        <f t="shared" ref="K43" si="18">+K41+K42</f>
        <v>16544</v>
      </c>
      <c r="L43" s="661">
        <f t="shared" si="17"/>
        <v>14486</v>
      </c>
      <c r="M43" s="657">
        <f t="shared" si="17"/>
        <v>14172</v>
      </c>
      <c r="N43" s="657">
        <f t="shared" si="17"/>
        <v>14088</v>
      </c>
      <c r="O43" s="657">
        <f t="shared" ref="O43" si="19">+O41+O42</f>
        <v>14003</v>
      </c>
      <c r="P43" s="657">
        <f t="shared" si="17"/>
        <v>14355</v>
      </c>
    </row>
    <row r="44" spans="1:16">
      <c r="A44" s="194" t="s">
        <v>214</v>
      </c>
      <c r="B44" s="194"/>
      <c r="C44" s="491">
        <f>+C43/C40</f>
        <v>0.21827639001491975</v>
      </c>
      <c r="D44" s="491">
        <f>+D43/D40</f>
        <v>0.23636516865440033</v>
      </c>
      <c r="E44" s="491">
        <f>+E43/E40</f>
        <v>0.11</v>
      </c>
      <c r="F44" s="491">
        <f>+F43/F40</f>
        <v>0.21827639001491977</v>
      </c>
      <c r="G44" s="492">
        <f>+G43/G40</f>
        <v>0.20574349899233257</v>
      </c>
      <c r="H44" s="491"/>
      <c r="I44" s="492">
        <f>+I43/I40</f>
        <v>0.17342250294135861</v>
      </c>
      <c r="K44" s="679">
        <f>+K43/K40</f>
        <v>0.20625857125046751</v>
      </c>
      <c r="L44" s="662">
        <f t="shared" ref="L44:P44" si="20">+L43/L40</f>
        <v>0.17015328595759677</v>
      </c>
      <c r="M44" s="658">
        <f t="shared" si="20"/>
        <v>0.1722285686508033</v>
      </c>
      <c r="N44" s="658">
        <f t="shared" si="20"/>
        <v>0.17282708703919525</v>
      </c>
      <c r="O44" s="658">
        <f>+O43/O40</f>
        <v>0.17342250294135861</v>
      </c>
      <c r="P44" s="658">
        <f t="shared" si="20"/>
        <v>0.17101093612256082</v>
      </c>
    </row>
    <row r="45" spans="1:16">
      <c r="A45" s="194" t="s">
        <v>389</v>
      </c>
      <c r="B45" s="194"/>
      <c r="C45" s="491">
        <f>+C44/C41</f>
        <v>2.7972736149740405E-5</v>
      </c>
      <c r="D45" s="491">
        <f>+D44/D41</f>
        <v>2.7006126304291768E-5</v>
      </c>
      <c r="E45" s="491">
        <f>+E44/E41</f>
        <v>1.2099149066241214E-5</v>
      </c>
      <c r="F45" s="491">
        <f>+F44/F41</f>
        <v>2.6807205476834558E-5</v>
      </c>
      <c r="G45" s="492"/>
      <c r="H45" s="491"/>
      <c r="I45" s="675">
        <v>0.17499999999999999</v>
      </c>
      <c r="K45" s="680">
        <v>0.20499999999999999</v>
      </c>
      <c r="L45" s="640">
        <v>0.17499999999999999</v>
      </c>
      <c r="M45" s="659">
        <v>0.17499999999999999</v>
      </c>
      <c r="N45" s="659">
        <v>0.17499999999999999</v>
      </c>
      <c r="O45" s="659">
        <v>0.17499999999999999</v>
      </c>
      <c r="P45" s="659">
        <v>0.17499999999999999</v>
      </c>
    </row>
    <row r="46" spans="1:16">
      <c r="A46" s="209" t="s">
        <v>209</v>
      </c>
      <c r="B46" s="493"/>
      <c r="C46" s="494"/>
      <c r="D46" s="494"/>
      <c r="E46" s="494"/>
      <c r="F46" s="494"/>
      <c r="G46" s="213">
        <f>+G43</f>
        <v>16110</v>
      </c>
      <c r="H46" s="494"/>
      <c r="I46" s="213">
        <f>ROUND(+I25*I45,0)</f>
        <v>14130</v>
      </c>
      <c r="K46" s="155">
        <f>ROUND(+K25*K45,0)</f>
        <v>16443</v>
      </c>
      <c r="L46" s="644">
        <f t="shared" ref="L46:P46" si="21">ROUND(+L25*L45,0)</f>
        <v>14899</v>
      </c>
      <c r="M46" s="654">
        <f t="shared" si="21"/>
        <v>14400</v>
      </c>
      <c r="N46" s="654">
        <f t="shared" si="21"/>
        <v>14265</v>
      </c>
      <c r="O46" s="654">
        <f>ROUND(+O25*O45,0)</f>
        <v>14130</v>
      </c>
      <c r="P46" s="654">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2"/>
      <c r="M48" s="645"/>
      <c r="N48" s="645"/>
      <c r="O48" s="645"/>
      <c r="P48" s="645"/>
    </row>
    <row r="49" spans="1:17">
      <c r="A49" s="194" t="s">
        <v>176</v>
      </c>
      <c r="B49" s="194"/>
      <c r="C49" s="227">
        <v>0.03</v>
      </c>
      <c r="D49" s="227">
        <v>0.03</v>
      </c>
      <c r="E49" s="227">
        <v>0.03</v>
      </c>
      <c r="F49" s="228">
        <v>0.03</v>
      </c>
      <c r="G49" s="448">
        <v>2.5000000000000001E-2</v>
      </c>
      <c r="H49" s="228">
        <v>2.5000000000000001E-2</v>
      </c>
      <c r="I49" s="448">
        <v>1.4999999999999999E-2</v>
      </c>
      <c r="K49" s="453">
        <v>1.4999999999999999E-2</v>
      </c>
      <c r="L49" s="666">
        <v>1.4999999999999999E-2</v>
      </c>
      <c r="M49" s="663">
        <v>1.4999999999999999E-2</v>
      </c>
      <c r="N49" s="663">
        <v>1.4999999999999999E-2</v>
      </c>
      <c r="O49" s="663">
        <v>1.4999999999999999E-2</v>
      </c>
      <c r="P49" s="663">
        <v>1.4999999999999999E-2</v>
      </c>
    </row>
    <row r="50" spans="1:17">
      <c r="A50" s="194" t="s">
        <v>177</v>
      </c>
      <c r="B50" s="194"/>
      <c r="C50" s="227">
        <v>3.0000000000000001E-3</v>
      </c>
      <c r="D50" s="227">
        <v>3.0000000000000001E-3</v>
      </c>
      <c r="E50" s="227">
        <v>3.0000000000000001E-3</v>
      </c>
      <c r="F50" s="228">
        <v>3.0000000000000001E-3</v>
      </c>
      <c r="G50" s="448">
        <v>2E-3</v>
      </c>
      <c r="H50" s="228">
        <v>2E-3</v>
      </c>
      <c r="I50" s="448">
        <v>7.0000000000000001E-3</v>
      </c>
      <c r="K50" s="453">
        <v>7.0000000000000001E-3</v>
      </c>
      <c r="L50" s="666">
        <v>7.0000000000000001E-3</v>
      </c>
      <c r="M50" s="663">
        <v>7.0000000000000001E-3</v>
      </c>
      <c r="N50" s="663">
        <v>7.0000000000000001E-3</v>
      </c>
      <c r="O50" s="663">
        <v>7.0000000000000001E-3</v>
      </c>
      <c r="P50" s="663">
        <v>7.0000000000000001E-3</v>
      </c>
    </row>
    <row r="51" spans="1:17">
      <c r="A51" s="194" t="s">
        <v>178</v>
      </c>
      <c r="B51" s="194"/>
      <c r="C51" s="227">
        <v>7.0000000000000001E-3</v>
      </c>
      <c r="D51" s="227">
        <v>7.0000000000000001E-3</v>
      </c>
      <c r="E51" s="227">
        <v>7.0000000000000001E-3</v>
      </c>
      <c r="F51" s="228">
        <v>7.0000000000000001E-3</v>
      </c>
      <c r="G51" s="448">
        <v>7.0000000000000001E-3</v>
      </c>
      <c r="H51" s="228">
        <v>7.0000000000000001E-3</v>
      </c>
      <c r="I51" s="448">
        <v>7.0000000000000001E-3</v>
      </c>
      <c r="J51" s="144" t="s">
        <v>473</v>
      </c>
      <c r="K51" s="453">
        <v>0</v>
      </c>
      <c r="L51" s="666">
        <v>0</v>
      </c>
      <c r="M51" s="663">
        <v>0</v>
      </c>
      <c r="N51" s="663">
        <v>0</v>
      </c>
      <c r="O51" s="663">
        <v>0</v>
      </c>
      <c r="P51" s="663">
        <v>0</v>
      </c>
      <c r="Q51" s="144" t="s">
        <v>527</v>
      </c>
    </row>
    <row r="52" spans="1:17">
      <c r="A52" s="194" t="s">
        <v>216</v>
      </c>
      <c r="B52" s="194"/>
      <c r="C52" s="229">
        <f t="shared" ref="C52:H52" si="22">+C49+C50+C51</f>
        <v>0.04</v>
      </c>
      <c r="D52" s="229">
        <f t="shared" si="22"/>
        <v>0.04</v>
      </c>
      <c r="E52" s="229">
        <f t="shared" si="22"/>
        <v>0.04</v>
      </c>
      <c r="F52" s="230">
        <f t="shared" si="22"/>
        <v>0.04</v>
      </c>
      <c r="G52" s="449">
        <f t="shared" si="22"/>
        <v>3.4000000000000002E-2</v>
      </c>
      <c r="H52" s="230">
        <f t="shared" si="22"/>
        <v>3.4000000000000002E-2</v>
      </c>
      <c r="I52" s="449">
        <f t="shared" ref="I52:P52" si="23">+I49+I50+I51</f>
        <v>2.8999999999999998E-2</v>
      </c>
      <c r="K52" s="454">
        <f t="shared" ref="K52" si="24">+K49+K50+K51</f>
        <v>2.1999999999999999E-2</v>
      </c>
      <c r="L52" s="667">
        <f t="shared" si="23"/>
        <v>2.1999999999999999E-2</v>
      </c>
      <c r="M52" s="664">
        <f t="shared" si="23"/>
        <v>2.1999999999999999E-2</v>
      </c>
      <c r="N52" s="664">
        <f t="shared" si="23"/>
        <v>2.1999999999999999E-2</v>
      </c>
      <c r="O52" s="664">
        <f t="shared" ref="O52" si="25">+O49+O50+O51</f>
        <v>2.1999999999999999E-2</v>
      </c>
      <c r="P52" s="664">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3">
        <f t="shared" si="27"/>
        <v>85135</v>
      </c>
      <c r="M53" s="656">
        <f t="shared" si="27"/>
        <v>82286</v>
      </c>
      <c r="N53" s="656">
        <f t="shared" si="27"/>
        <v>81515</v>
      </c>
      <c r="O53" s="656">
        <f t="shared" ref="O53" si="29">+O25</f>
        <v>80745</v>
      </c>
      <c r="P53" s="656">
        <f t="shared" si="27"/>
        <v>83942</v>
      </c>
    </row>
    <row r="54" spans="1:17" ht="43.5" hidden="1">
      <c r="A54" s="231" t="s">
        <v>220</v>
      </c>
      <c r="B54" s="194"/>
      <c r="C54" s="162">
        <f>+C32</f>
        <v>7680.9138888888883</v>
      </c>
      <c r="D54" s="162">
        <f>+D32</f>
        <v>8015</v>
      </c>
      <c r="E54" s="232">
        <v>0</v>
      </c>
      <c r="F54" s="222">
        <f>+F32</f>
        <v>8014.8666666666659</v>
      </c>
      <c r="G54" s="440">
        <v>0</v>
      </c>
      <c r="H54" s="224">
        <v>0</v>
      </c>
      <c r="I54" s="440">
        <v>0</v>
      </c>
      <c r="K54" s="235">
        <v>0</v>
      </c>
      <c r="L54" s="668">
        <v>0</v>
      </c>
      <c r="M54" s="665">
        <v>0</v>
      </c>
      <c r="N54" s="665">
        <v>0</v>
      </c>
      <c r="O54" s="665">
        <v>0</v>
      </c>
      <c r="P54" s="665">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3"/>
      <c r="M55" s="656"/>
      <c r="N55" s="656"/>
      <c r="O55" s="656"/>
      <c r="P55" s="656"/>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3">
        <f t="shared" si="31"/>
        <v>85135</v>
      </c>
      <c r="M56" s="656">
        <f t="shared" si="31"/>
        <v>82286</v>
      </c>
      <c r="N56" s="656">
        <f t="shared" si="31"/>
        <v>81515</v>
      </c>
      <c r="O56" s="656">
        <f t="shared" ref="O56" si="33">SUM(O53:O55)</f>
        <v>80745</v>
      </c>
      <c r="P56" s="656">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4">
        <f t="shared" ref="L57:P57" si="34">ROUND(+L56*L52,0)</f>
        <v>1873</v>
      </c>
      <c r="M57" s="654">
        <f t="shared" si="34"/>
        <v>1810</v>
      </c>
      <c r="N57" s="654">
        <f t="shared" si="34"/>
        <v>1793</v>
      </c>
      <c r="O57" s="654">
        <f>ROUND(+O56*O52,0)</f>
        <v>1776</v>
      </c>
      <c r="P57" s="654">
        <f t="shared" si="34"/>
        <v>1847</v>
      </c>
    </row>
    <row r="58" spans="1:17">
      <c r="D58" s="151"/>
      <c r="E58" s="151"/>
      <c r="G58" s="214"/>
      <c r="I58" s="214"/>
    </row>
    <row r="59" spans="1:17">
      <c r="A59" s="156" t="s">
        <v>107</v>
      </c>
      <c r="B59" s="157"/>
      <c r="C59" s="168"/>
      <c r="D59" s="168"/>
      <c r="E59" s="168"/>
      <c r="F59" s="169"/>
      <c r="G59" s="439"/>
      <c r="H59" s="168"/>
      <c r="I59" s="439"/>
      <c r="K59" s="234"/>
      <c r="L59" s="669"/>
      <c r="M59" s="669"/>
      <c r="N59" s="669"/>
      <c r="O59" s="669"/>
      <c r="P59" s="669"/>
    </row>
    <row r="60" spans="1:17">
      <c r="A60" s="159" t="s">
        <v>222</v>
      </c>
      <c r="B60" s="159"/>
      <c r="C60" s="163">
        <v>1500</v>
      </c>
      <c r="D60" s="163">
        <v>1500</v>
      </c>
      <c r="E60" s="163">
        <v>1500</v>
      </c>
      <c r="F60" s="164">
        <v>1500</v>
      </c>
      <c r="G60" s="440">
        <v>1500</v>
      </c>
      <c r="H60" s="163">
        <v>1500</v>
      </c>
      <c r="I60" s="440">
        <v>1500</v>
      </c>
      <c r="K60" s="235">
        <v>1500</v>
      </c>
      <c r="L60" s="668">
        <v>1500</v>
      </c>
      <c r="M60" s="668">
        <v>1500</v>
      </c>
      <c r="N60" s="668">
        <v>1500</v>
      </c>
      <c r="O60" s="668">
        <v>1500</v>
      </c>
      <c r="P60" s="668">
        <v>1500</v>
      </c>
    </row>
    <row r="61" spans="1:17">
      <c r="A61" s="159" t="s">
        <v>223</v>
      </c>
      <c r="B61" s="159"/>
      <c r="C61" s="163">
        <v>1000</v>
      </c>
      <c r="D61" s="163">
        <v>1000</v>
      </c>
      <c r="E61" s="163">
        <v>1000</v>
      </c>
      <c r="F61" s="164">
        <v>1000</v>
      </c>
      <c r="G61" s="440">
        <v>1000</v>
      </c>
      <c r="H61" s="163">
        <v>700</v>
      </c>
      <c r="I61" s="440">
        <v>1000</v>
      </c>
      <c r="K61" s="235">
        <v>1000</v>
      </c>
      <c r="L61" s="668">
        <v>1000</v>
      </c>
      <c r="M61" s="668">
        <v>1000</v>
      </c>
      <c r="N61" s="668">
        <v>1000</v>
      </c>
      <c r="O61" s="668">
        <v>1000</v>
      </c>
      <c r="P61" s="668">
        <v>1000</v>
      </c>
    </row>
    <row r="62" spans="1:17">
      <c r="A62" s="159" t="s">
        <v>107</v>
      </c>
      <c r="B62" s="159"/>
      <c r="C62" s="163">
        <v>600</v>
      </c>
      <c r="D62" s="163">
        <v>600</v>
      </c>
      <c r="E62" s="163">
        <v>600</v>
      </c>
      <c r="F62" s="164">
        <v>600</v>
      </c>
      <c r="G62" s="440">
        <v>600</v>
      </c>
      <c r="H62" s="163">
        <v>600</v>
      </c>
      <c r="I62" s="440">
        <v>600</v>
      </c>
      <c r="K62" s="235">
        <v>600</v>
      </c>
      <c r="L62" s="668">
        <v>600</v>
      </c>
      <c r="M62" s="668">
        <v>600</v>
      </c>
      <c r="N62" s="668">
        <v>600</v>
      </c>
      <c r="O62" s="668">
        <v>600</v>
      </c>
      <c r="P62" s="668">
        <v>600</v>
      </c>
    </row>
    <row r="63" spans="1:17">
      <c r="A63" s="194" t="s">
        <v>238</v>
      </c>
      <c r="B63" s="194"/>
      <c r="C63" s="195"/>
      <c r="D63" s="195"/>
      <c r="E63" s="195"/>
      <c r="F63" s="196"/>
      <c r="G63" s="440">
        <f>40*12</f>
        <v>480</v>
      </c>
      <c r="H63" s="697">
        <f>25*12</f>
        <v>300</v>
      </c>
      <c r="I63" s="440">
        <f>ROUND(40*12,0)</f>
        <v>480</v>
      </c>
      <c r="K63" s="235">
        <f>ROUND(40*12,0)</f>
        <v>480</v>
      </c>
      <c r="L63" s="668">
        <f t="shared" ref="L63:P63" si="35">ROUND(40*12,0)</f>
        <v>480</v>
      </c>
      <c r="M63" s="668">
        <f t="shared" si="35"/>
        <v>480</v>
      </c>
      <c r="N63" s="668">
        <f t="shared" si="35"/>
        <v>480</v>
      </c>
      <c r="O63" s="668">
        <f>ROUND(40*12,0)</f>
        <v>480</v>
      </c>
      <c r="P63" s="668">
        <f t="shared" si="35"/>
        <v>480</v>
      </c>
    </row>
    <row r="64" spans="1:17">
      <c r="A64" s="170" t="s">
        <v>225</v>
      </c>
      <c r="B64" s="170"/>
      <c r="C64" s="171">
        <f t="shared" ref="C64:H64" si="36">+SUM(C60:C63)</f>
        <v>3100</v>
      </c>
      <c r="D64" s="171">
        <f t="shared" si="36"/>
        <v>3100</v>
      </c>
      <c r="E64" s="171">
        <f t="shared" si="36"/>
        <v>3100</v>
      </c>
      <c r="F64" s="172">
        <f t="shared" si="36"/>
        <v>3100</v>
      </c>
      <c r="G64" s="441">
        <f t="shared" si="36"/>
        <v>3580</v>
      </c>
      <c r="H64" s="171">
        <f t="shared" si="36"/>
        <v>3100</v>
      </c>
      <c r="I64" s="441">
        <f t="shared" ref="I64:P64" si="37">+SUM(I60:I63)</f>
        <v>3580</v>
      </c>
      <c r="K64" s="236">
        <f t="shared" ref="K64" si="38">+SUM(K60:K63)</f>
        <v>3580</v>
      </c>
      <c r="L64" s="670">
        <f t="shared" si="37"/>
        <v>3580</v>
      </c>
      <c r="M64" s="670">
        <f t="shared" si="37"/>
        <v>3580</v>
      </c>
      <c r="N64" s="670">
        <f t="shared" si="37"/>
        <v>3580</v>
      </c>
      <c r="O64" s="670">
        <f t="shared" ref="O64" si="39">+SUM(O60:O63)</f>
        <v>3580</v>
      </c>
      <c r="P64" s="670">
        <f t="shared" si="37"/>
        <v>3580</v>
      </c>
    </row>
    <row r="65" spans="1:16">
      <c r="G65" s="214"/>
      <c r="I65" s="195"/>
    </row>
    <row r="66" spans="1:16">
      <c r="A66" s="443" t="s">
        <v>224</v>
      </c>
      <c r="B66" s="173"/>
      <c r="C66" s="174">
        <f t="shared" ref="C66:I66" si="40">+C25+C43+C57+C64</f>
        <v>92690.389451361116</v>
      </c>
      <c r="D66" s="174">
        <f t="shared" si="40"/>
        <v>93988.957535416688</v>
      </c>
      <c r="E66" s="174">
        <f t="shared" si="40"/>
        <v>98149.006574999992</v>
      </c>
      <c r="F66" s="175">
        <f t="shared" si="40"/>
        <v>96586.623775333341</v>
      </c>
      <c r="G66" s="442">
        <f t="shared" si="40"/>
        <v>100653.3805</v>
      </c>
      <c r="H66" s="174">
        <f t="shared" si="40"/>
        <v>97766.627437000003</v>
      </c>
      <c r="I66" s="442">
        <f t="shared" si="40"/>
        <v>100670</v>
      </c>
      <c r="J66" s="151"/>
      <c r="K66" s="176">
        <f t="shared" ref="K66" si="41">+K25+K43+K57+K64</f>
        <v>102099</v>
      </c>
      <c r="L66" s="671">
        <f t="shared" ref="L66:P66" si="42">+L25+L43+L57+L64</f>
        <v>105074</v>
      </c>
      <c r="M66" s="671">
        <f t="shared" si="42"/>
        <v>101848</v>
      </c>
      <c r="N66" s="671">
        <f t="shared" si="42"/>
        <v>100976</v>
      </c>
      <c r="O66" s="671">
        <f t="shared" si="42"/>
        <v>100104</v>
      </c>
      <c r="P66" s="671">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2">
        <f>+I67/G66</f>
        <v>1.6511616318739237E-4</v>
      </c>
      <c r="J68" s="46"/>
      <c r="K68" s="673">
        <f>+K67/I66</f>
        <v>1.4194894208801033E-2</v>
      </c>
      <c r="L68" s="673">
        <f>+L67/O66</f>
        <v>4.9648365699672341E-2</v>
      </c>
      <c r="M68" s="673">
        <f>+M67/O66</f>
        <v>1.7421881243506753E-2</v>
      </c>
      <c r="N68" s="673">
        <f>+N67/O66</f>
        <v>8.7109406217533766E-3</v>
      </c>
      <c r="O68" s="432"/>
      <c r="P68" s="673">
        <f>+P67/O66</f>
        <v>3.616239111324223E-2</v>
      </c>
    </row>
    <row r="69" spans="1:16" hidden="1">
      <c r="A69" s="159"/>
      <c r="B69" s="328"/>
      <c r="C69" s="328" t="s">
        <v>227</v>
      </c>
      <c r="D69" s="328"/>
      <c r="E69" s="328"/>
      <c r="F69" s="328"/>
      <c r="G69" s="328"/>
      <c r="H69" s="431"/>
    </row>
    <row r="70" spans="1:16" hidden="1">
      <c r="A70" s="498" t="s">
        <v>228</v>
      </c>
      <c r="B70" s="238"/>
      <c r="C70" s="154">
        <f>+C66-C23</f>
        <v>87649.275326361123</v>
      </c>
      <c r="D70" s="154">
        <f>+D66-D23</f>
        <v>88947.843410416681</v>
      </c>
      <c r="E70" s="154">
        <f>+E66-E23</f>
        <v>92275.566074999995</v>
      </c>
      <c r="F70" s="154">
        <f>+F66-F23</f>
        <v>91326.330775333336</v>
      </c>
      <c r="G70" s="328"/>
      <c r="H70" s="431"/>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2021-01-05T21:02:26Z</cp:lastPrinted>
  <dcterms:created xsi:type="dcterms:W3CDTF">2011-12-01T18:07:46Z</dcterms:created>
  <dcterms:modified xsi:type="dcterms:W3CDTF">2021-01-05T21:03:47Z</dcterms:modified>
</cp:coreProperties>
</file>